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Filerrna01.crpc.fr\placido_na_dfss$\Operationnel\04_Bourses_RelationsApprenants\COMMUNICATION\Guide_des_aides\"/>
    </mc:Choice>
  </mc:AlternateContent>
  <xr:revisionPtr revIDLastSave="0" documentId="8_{A58CFD8F-FAED-446E-BEF4-2544700D919B}" xr6:coauthVersionLast="47" xr6:coauthVersionMax="47" xr10:uidLastSave="{00000000-0000-0000-0000-000000000000}"/>
  <bookViews>
    <workbookView xWindow="20370" yWindow="3075" windowWidth="25440" windowHeight="15270" xr2:uid="{00000000-000D-0000-FFFF-FFFF00000000}"/>
  </bookViews>
  <sheets>
    <sheet name="Formulaire" sheetId="1" r:id="rId1"/>
    <sheet name="Points_charge" sheetId="4" state="hidden" r:id="rId2"/>
    <sheet name="Baremes" sheetId="3" state="hidden" r:id="rId3"/>
    <sheet name="Parametres" sheetId="2"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 l="1"/>
  <c r="C14" i="4"/>
  <c r="E33" i="1"/>
  <c r="E31" i="1"/>
  <c r="C11" i="4" l="1"/>
  <c r="C13" i="4"/>
  <c r="C12" i="4"/>
  <c r="C10" i="4"/>
  <c r="C9" i="4"/>
  <c r="C8" i="4"/>
  <c r="C7" i="4"/>
  <c r="C6" i="4"/>
  <c r="C5" i="4"/>
  <c r="C4" i="4"/>
  <c r="C3" i="4"/>
  <c r="E9" i="1"/>
  <c r="F23" i="1"/>
  <c r="E17" i="1"/>
  <c r="E25" i="1" s="1"/>
  <c r="B48" i="1"/>
  <c r="B29" i="1"/>
  <c r="B39" i="1"/>
  <c r="B37" i="1"/>
  <c r="B35" i="1"/>
  <c r="B33" i="1"/>
  <c r="B31" i="1"/>
  <c r="B27" i="1"/>
  <c r="B25" i="1"/>
  <c r="B41" i="1"/>
  <c r="E13" i="1"/>
  <c r="C17" i="4" l="1"/>
  <c r="E29" i="1" l="1"/>
  <c r="E35" i="1"/>
  <c r="E15" i="1"/>
  <c r="E37" i="1" l="1"/>
  <c r="L6" i="3" l="1"/>
  <c r="L4" i="3"/>
  <c r="L3" i="3"/>
  <c r="L2" i="3"/>
  <c r="E45" i="1"/>
  <c r="E47" i="1" l="1"/>
  <c r="E46" i="1" l="1"/>
</calcChain>
</file>

<file path=xl/sharedStrings.xml><?xml version="1.0" encoding="utf-8"?>
<sst xmlns="http://schemas.openxmlformats.org/spreadsheetml/2006/main" count="122" uniqueCount="98">
  <si>
    <t>Situation Familiale :</t>
  </si>
  <si>
    <t>Nombre d'enfants à charge de l'étudiant</t>
  </si>
  <si>
    <t>Distance kilométrique entre le lieu de formation et le domicile de vos parents ou le votre si vous êtes fiscalement indépendant (trajet le plus court)</t>
  </si>
  <si>
    <t>Célibataire</t>
  </si>
  <si>
    <t>Vie maritale (Union libre)</t>
  </si>
  <si>
    <t>Divorcé(e)</t>
  </si>
  <si>
    <t>Marié(e)</t>
  </si>
  <si>
    <t>Pacsé(e)</t>
  </si>
  <si>
    <t>Séparé(e)</t>
  </si>
  <si>
    <t>Veuf(ve)</t>
  </si>
  <si>
    <t>Points de charge</t>
  </si>
  <si>
    <t>Echelon 0bis</t>
  </si>
  <si>
    <t>Echelon 1 </t>
  </si>
  <si>
    <t>Echelon 2 </t>
  </si>
  <si>
    <t>Echelon 3 </t>
  </si>
  <si>
    <t>Echelon 4 </t>
  </si>
  <si>
    <t>Echelon 5</t>
  </si>
  <si>
    <t>Echelon 6</t>
  </si>
  <si>
    <t>Echelon 7</t>
  </si>
  <si>
    <t>RENSEIGNEMENTS SUR LA FAMILLE</t>
  </si>
  <si>
    <t>RENSEIGNEMENTS SUR L'ELEVE</t>
  </si>
  <si>
    <t>Indépendance Financière</t>
  </si>
  <si>
    <t>Renseignements</t>
  </si>
  <si>
    <t>Si vous êtes dépendant financièrement</t>
  </si>
  <si>
    <t>Statut à l'entrée de la formation</t>
  </si>
  <si>
    <t>Situation particulière</t>
  </si>
  <si>
    <t>Récapitulatif de la simulation</t>
  </si>
  <si>
    <t>Nombre de point de charges :</t>
  </si>
  <si>
    <t>Echelon estimé :</t>
  </si>
  <si>
    <t xml:space="preserve">        Vous pouvez estimer votre droit à la bourse à l’aide du simulateur suivant :</t>
  </si>
  <si>
    <t>Montant estimé de la bourse 
avant instruction par les services de la Région :</t>
  </si>
  <si>
    <t>Moins de 30 km</t>
  </si>
  <si>
    <t>Entre 30 et 249 km</t>
  </si>
  <si>
    <t>Entre 250 et 12 999 km</t>
  </si>
  <si>
    <t>Plus de 13 000 km</t>
  </si>
  <si>
    <t>Détail des points</t>
  </si>
  <si>
    <t>Pupille de la nation  -  1pt</t>
  </si>
  <si>
    <t>Éloignement 30-249 km  -  2pts</t>
  </si>
  <si>
    <t>Éloignement 250-12999 km  -  3pts</t>
  </si>
  <si>
    <t>Éloignement +13000 km  -  4pts</t>
  </si>
  <si>
    <t>Etudiant marié ou pacsé  -  1pt</t>
  </si>
  <si>
    <t>Enfants a charge de l'étudiant  -  2pts x nb enfants</t>
  </si>
  <si>
    <t>Enfants à charge des parents dans Enseign.  Sup.  -  4pts x nb enfants</t>
  </si>
  <si>
    <t>Autres enfants à charge des parents  -  2pts x nb enfants</t>
  </si>
  <si>
    <t>Le parent élève seul son ou ses enfants  -  1pt</t>
  </si>
  <si>
    <t>TOTAL</t>
  </si>
  <si>
    <t>Listes de valeurs</t>
  </si>
  <si>
    <r>
      <rPr>
        <b/>
        <sz val="18"/>
        <color theme="1"/>
        <rFont val="Calibri"/>
        <family val="2"/>
        <scheme val="minor"/>
      </rPr>
      <t xml:space="preserve">ATTENTION : </t>
    </r>
    <r>
      <rPr>
        <sz val="18"/>
        <color rgb="FFC00000"/>
        <rFont val="Calibri"/>
        <family val="2"/>
        <scheme val="minor"/>
      </rPr>
      <t xml:space="preserve">Ce montant n'est qu'une </t>
    </r>
    <r>
      <rPr>
        <u/>
        <sz val="18"/>
        <color rgb="FFC00000"/>
        <rFont val="Calibri"/>
        <family val="2"/>
        <scheme val="minor"/>
      </rPr>
      <t>indication</t>
    </r>
    <r>
      <rPr>
        <sz val="18"/>
        <color theme="1"/>
        <rFont val="Calibri"/>
        <family val="2"/>
        <scheme val="minor"/>
      </rPr>
      <t>. Il est susceptible d'évoluer lors de l'instruction de votre dossier sous réserve de l'exactitude des informations, de la délivrance des justificatifs demandés, et de remplir les critères et conditions prévues dans le règlement d'intervention relatif aux bourses d'études sur critères sociaux en faveur des élèves et des étudiants en formations sociales, paramédicales et de santé.</t>
    </r>
  </si>
  <si>
    <t>Parcours du tableau des plafonds de ressources en plusieurs étapes</t>
  </si>
  <si>
    <t>Ligne correspondant à 17 points</t>
  </si>
  <si>
    <t>Exemple de parcours du tableau</t>
  </si>
  <si>
    <t>Vous êtes à la charge financière des 2 parents</t>
  </si>
  <si>
    <t>Vos 2 parents sont décédés</t>
  </si>
  <si>
    <t>Etudiant élève seul ses enfants  -  1pt</t>
  </si>
  <si>
    <t>0-1-2-3-4-5-6-7 pts de charge</t>
  </si>
  <si>
    <t>8-9-10-11-12-13-14 pts de charge</t>
  </si>
  <si>
    <t>15-16-17 pts de charge</t>
  </si>
  <si>
    <t>Oui</t>
  </si>
  <si>
    <t>Non</t>
  </si>
  <si>
    <t>Congé parental</t>
  </si>
  <si>
    <t>Salarié ou fonctionnaire en emploi</t>
  </si>
  <si>
    <t>Disponibilité ou en congé sans solde</t>
  </si>
  <si>
    <t>Retraité</t>
  </si>
  <si>
    <t>Bénéficiaire d'un contrat aidé ou en alternance</t>
  </si>
  <si>
    <t>Bénéficiaire d'une autre bourse sur critères sociaux</t>
  </si>
  <si>
    <t>Vous êtes pupille de la nation 
OU bénéficiaire d'une protection particulière :</t>
  </si>
  <si>
    <t/>
  </si>
  <si>
    <t>Date d'entrée en formation pour cette campagne  (JJ/MM/AAAA) :</t>
  </si>
  <si>
    <r>
      <rPr>
        <sz val="12"/>
        <rFont val="Calibri"/>
        <family val="2"/>
        <scheme val="minor"/>
      </rPr>
      <t>Vous pouvez calculer cette distance grâce au site :</t>
    </r>
    <r>
      <rPr>
        <u/>
        <sz val="11"/>
        <color theme="4" tint="-0.249977111117893"/>
        <rFont val="Calibri"/>
        <family val="2"/>
        <scheme val="minor"/>
      </rPr>
      <t xml:space="preserve">
</t>
    </r>
    <r>
      <rPr>
        <b/>
        <u/>
        <sz val="14"/>
        <color theme="4" tint="-0.249977111117893"/>
        <rFont val="Calibri"/>
        <family val="2"/>
        <scheme val="minor"/>
      </rPr>
      <t>ViaMichelin</t>
    </r>
    <r>
      <rPr>
        <u/>
        <sz val="11"/>
        <color theme="4" tint="-0.249977111117893"/>
        <rFont val="Calibri"/>
        <family val="2"/>
        <scheme val="minor"/>
      </rPr>
      <t xml:space="preserve">
</t>
    </r>
    <r>
      <rPr>
        <i/>
        <sz val="12"/>
        <rFont val="Calibri"/>
        <family val="2"/>
        <scheme val="minor"/>
      </rPr>
      <t>(sélectionner le trajet le plus court)</t>
    </r>
  </si>
  <si>
    <t>Élève ou étudiant non inscrit à France Travail</t>
  </si>
  <si>
    <t>Demandeur d'emploi inscrit à France Travail</t>
  </si>
  <si>
    <t>Bénéficiaire d'un contrat d'alternance</t>
  </si>
  <si>
    <t>Autre situation</t>
  </si>
  <si>
    <t>Etat civil  /  Formation</t>
  </si>
  <si>
    <t>Statut à l'entrée de cette nouvelle année de formation :</t>
  </si>
  <si>
    <t>Congé de transition professionnelle</t>
  </si>
  <si>
    <t xml:space="preserve">Date de naissance  (JJ/MM/AAAA) : </t>
  </si>
  <si>
    <r>
      <rPr>
        <b/>
        <u/>
        <sz val="12"/>
        <rFont val="Calibri"/>
        <family val="2"/>
        <scheme val="minor"/>
      </rPr>
      <t xml:space="preserve">Remarque : 
</t>
    </r>
    <r>
      <rPr>
        <b/>
        <sz val="12"/>
        <rFont val="Calibri"/>
        <family val="2"/>
        <scheme val="minor"/>
      </rPr>
      <t xml:space="preserve">
- Si l'on est indépendant financièrement
     </t>
    </r>
    <r>
      <rPr>
        <b/>
        <i/>
        <sz val="12"/>
        <rFont val="Calibri"/>
        <family val="2"/>
        <scheme val="minor"/>
      </rPr>
      <t>--&gt; on récupère les revenus de l'étudiant</t>
    </r>
    <r>
      <rPr>
        <b/>
        <sz val="12"/>
        <rFont val="Calibri"/>
        <family val="2"/>
        <scheme val="minor"/>
      </rPr>
      <t xml:space="preserve">
- Si l'on est dépendant financièrement
     --&gt; on récupère les revenus des parents
</t>
    </r>
    <r>
      <rPr>
        <b/>
        <u/>
        <sz val="12"/>
        <rFont val="Calibri"/>
        <family val="2"/>
        <scheme val="minor"/>
      </rPr>
      <t>On place les revenus retenus en F23 (couleur de police en blanc) :</t>
    </r>
    <r>
      <rPr>
        <b/>
        <sz val="12"/>
        <rFont val="Calibri"/>
        <family val="2"/>
        <scheme val="minor"/>
      </rPr>
      <t xml:space="preserve">
=SI(E17="Vous êtes indépendant financièrement";F11;SI(E17="Vous êtes dépendant financièrement";F25;0))</t>
    </r>
  </si>
  <si>
    <t>Rupture familiale</t>
  </si>
  <si>
    <t>Décès d'un ou des 2 parents</t>
  </si>
  <si>
    <t>Votre père ou votre mère vous élève seul (lettre T sur l'avis d'imposition)</t>
  </si>
  <si>
    <t>Le parent qui vous élève vit en concubinage (absence de lettre T sur l'avis d'imposition)</t>
  </si>
  <si>
    <t>Vos parents sont mariés ou pacsés</t>
  </si>
  <si>
    <t>Vos parents sont en union libre</t>
  </si>
  <si>
    <t>Vos parents sont divorcés ou séparés</t>
  </si>
  <si>
    <t>Le parent qui a votre garde est remarié ou pacsé</t>
  </si>
  <si>
    <t>Votre parent vous élève seul (lettre V sur l'avis d'imposition)</t>
  </si>
  <si>
    <t>Votre parent est remarié ou pacsé</t>
  </si>
  <si>
    <t>50% SMIC annuel</t>
  </si>
  <si>
    <t>Nb jours = 26 ans (26 x 365,25 = 9496,5 = 9497)</t>
  </si>
  <si>
    <t>Montants</t>
  </si>
  <si>
    <t>Critères</t>
  </si>
  <si>
    <t>Total</t>
  </si>
  <si>
    <t>Points</t>
  </si>
  <si>
    <t>Vous êtes en situation de handicap :</t>
  </si>
  <si>
    <t>Vous êtes aidant d'un parent en situation de handicap (vous n'êtes pas salarié pour cette aide) :</t>
  </si>
  <si>
    <t>Aidant d'une personne en situation de handicap  -  4pts</t>
  </si>
  <si>
    <t>Etudiant en situation de handicap  -  4pts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</si>
</sst>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quot;[$€-40C];[Red]&quot;-&quot;#,##0.00&quot; &quot;[$€-40C]"/>
    <numFmt numFmtId="165" formatCode="#,##0\ &quot;€&quot;"/>
  </numFmts>
  <fonts count="33" x14ac:knownFonts="1">
    <font>
      <sz val="11"/>
      <color theme="1"/>
      <name val="Calibri"/>
      <family val="2"/>
      <scheme val="minor"/>
    </font>
    <font>
      <sz val="11"/>
      <color rgb="FF000000"/>
      <name val="Arial"/>
      <family val="2"/>
    </font>
    <font>
      <b/>
      <i/>
      <sz val="16"/>
      <color rgb="FF000000"/>
      <name val="Arial"/>
      <family val="2"/>
    </font>
    <font>
      <b/>
      <i/>
      <u/>
      <sz val="11"/>
      <color rgb="FF000000"/>
      <name val="Arial"/>
      <family val="2"/>
    </font>
    <font>
      <sz val="14"/>
      <color theme="1"/>
      <name val="Calibri"/>
      <family val="2"/>
      <scheme val="minor"/>
    </font>
    <font>
      <sz val="18"/>
      <color theme="1"/>
      <name val="Calibri"/>
      <family val="2"/>
      <scheme val="minor"/>
    </font>
    <font>
      <u/>
      <sz val="11"/>
      <color theme="10"/>
      <name val="Calibri"/>
      <family val="2"/>
      <scheme val="minor"/>
    </font>
    <font>
      <sz val="11"/>
      <name val="Calibri"/>
      <family val="2"/>
      <scheme val="minor"/>
    </font>
    <font>
      <sz val="11"/>
      <color theme="1"/>
      <name val="Calibri"/>
      <family val="2"/>
      <scheme val="minor"/>
    </font>
    <font>
      <b/>
      <sz val="20"/>
      <name val="Arial"/>
      <family val="2"/>
    </font>
    <font>
      <sz val="24"/>
      <color theme="0" tint="-4.9989318521683403E-2"/>
      <name val="Calibri"/>
      <family val="2"/>
      <scheme val="minor"/>
    </font>
    <font>
      <sz val="16"/>
      <color theme="0" tint="-4.9989318521683403E-2"/>
      <name val="Calibri"/>
      <family val="2"/>
      <scheme val="minor"/>
    </font>
    <font>
      <sz val="24"/>
      <color theme="0"/>
      <name val="Calibri"/>
      <family val="2"/>
      <scheme val="minor"/>
    </font>
    <font>
      <b/>
      <sz val="22"/>
      <color rgb="FFC2002F"/>
      <name val="Calibri"/>
      <family val="2"/>
      <scheme val="minor"/>
    </font>
    <font>
      <sz val="18"/>
      <color rgb="FFC00000"/>
      <name val="Calibri"/>
      <family val="2"/>
      <scheme val="minor"/>
    </font>
    <font>
      <u/>
      <sz val="18"/>
      <color rgb="FFC00000"/>
      <name val="Calibri"/>
      <family val="2"/>
      <scheme val="minor"/>
    </font>
    <font>
      <b/>
      <sz val="18"/>
      <color theme="1"/>
      <name val="Calibri"/>
      <family val="2"/>
      <scheme val="minor"/>
    </font>
    <font>
      <sz val="11"/>
      <color theme="0"/>
      <name val="Calibri"/>
      <family val="2"/>
      <scheme val="minor"/>
    </font>
    <font>
      <sz val="12"/>
      <color theme="1"/>
      <name val="Calibri"/>
      <family val="2"/>
      <scheme val="minor"/>
    </font>
    <font>
      <b/>
      <sz val="12"/>
      <color rgb="FF000000"/>
      <name val="Arial"/>
      <family val="2"/>
    </font>
    <font>
      <sz val="12"/>
      <color rgb="FF000000"/>
      <name val="Trebuchet MS"/>
      <family val="2"/>
    </font>
    <font>
      <sz val="12"/>
      <color rgb="FF000000"/>
      <name val="Arial"/>
      <family val="2"/>
    </font>
    <font>
      <b/>
      <sz val="12"/>
      <color theme="1"/>
      <name val="Calibri"/>
      <family val="2"/>
      <scheme val="minor"/>
    </font>
    <font>
      <sz val="12"/>
      <name val="Calibri"/>
      <family val="2"/>
      <scheme val="minor"/>
    </font>
    <font>
      <b/>
      <sz val="12"/>
      <name val="Calibri"/>
      <family val="2"/>
      <scheme val="minor"/>
    </font>
    <font>
      <b/>
      <u/>
      <sz val="12"/>
      <name val="Calibri"/>
      <family val="2"/>
      <scheme val="minor"/>
    </font>
    <font>
      <b/>
      <sz val="24"/>
      <color theme="1"/>
      <name val="Calibri"/>
      <family val="2"/>
      <scheme val="minor"/>
    </font>
    <font>
      <u/>
      <sz val="11"/>
      <color theme="4" tint="-0.249977111117893"/>
      <name val="Calibri"/>
      <family val="2"/>
      <scheme val="minor"/>
    </font>
    <font>
      <b/>
      <u/>
      <sz val="14"/>
      <color theme="4" tint="-0.249977111117893"/>
      <name val="Calibri"/>
      <family val="2"/>
      <scheme val="minor"/>
    </font>
    <font>
      <i/>
      <sz val="12"/>
      <name val="Calibri"/>
      <family val="2"/>
      <scheme val="minor"/>
    </font>
    <font>
      <b/>
      <i/>
      <sz val="12"/>
      <name val="Calibri"/>
      <family val="2"/>
      <scheme val="minor"/>
    </font>
    <font>
      <b/>
      <sz val="11"/>
      <color theme="1"/>
      <name val="Calibri"/>
      <family val="2"/>
      <scheme val="minor"/>
    </font>
    <font>
      <b/>
      <i/>
      <sz val="12"/>
      <color rgb="FFA71B35"/>
      <name val="Calibri"/>
      <family val="2"/>
      <scheme val="minor"/>
    </font>
  </fonts>
  <fills count="5">
    <fill>
      <patternFill patternType="none"/>
    </fill>
    <fill>
      <patternFill patternType="gray125"/>
    </fill>
    <fill>
      <patternFill patternType="solid">
        <fgColor theme="0"/>
        <bgColor indexed="64"/>
      </patternFill>
    </fill>
    <fill>
      <patternFill patternType="solid">
        <fgColor rgb="FFA71B35"/>
        <bgColor indexed="64"/>
      </patternFill>
    </fill>
    <fill>
      <patternFill patternType="solid">
        <fgColor rgb="FFD4D3D2"/>
        <bgColor indexed="64"/>
      </patternFill>
    </fill>
  </fills>
  <borders count="26">
    <border>
      <left/>
      <right/>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7">
    <xf numFmtId="0" fontId="0" fillId="0" borderId="0"/>
    <xf numFmtId="0" fontId="1" fillId="0" borderId="0"/>
    <xf numFmtId="0" fontId="2" fillId="0" borderId="0">
      <alignment horizontal="center"/>
    </xf>
    <xf numFmtId="0" fontId="2" fillId="0" borderId="0">
      <alignment horizontal="center" textRotation="90"/>
    </xf>
    <xf numFmtId="0" fontId="3" fillId="0" borderId="0"/>
    <xf numFmtId="164" fontId="3" fillId="0" borderId="0"/>
    <xf numFmtId="0" fontId="6" fillId="0" borderId="0" applyNumberFormat="0" applyFill="0" applyBorder="0" applyAlignment="0" applyProtection="0"/>
  </cellStyleXfs>
  <cellXfs count="113">
    <xf numFmtId="0" fontId="0" fillId="0" borderId="0" xfId="0"/>
    <xf numFmtId="0" fontId="0" fillId="0" borderId="0" xfId="0" applyAlignment="1">
      <alignment wrapText="1"/>
    </xf>
    <xf numFmtId="0" fontId="0" fillId="4" borderId="0" xfId="0" applyFill="1" applyAlignment="1">
      <alignment wrapText="1"/>
    </xf>
    <xf numFmtId="0" fontId="7" fillId="4" borderId="0" xfId="0" applyFont="1" applyFill="1" applyAlignment="1">
      <alignment wrapText="1"/>
    </xf>
    <xf numFmtId="0" fontId="5" fillId="4" borderId="0" xfId="0" applyFont="1" applyFill="1" applyAlignment="1">
      <alignment horizontal="center" vertical="center" wrapText="1"/>
    </xf>
    <xf numFmtId="0" fontId="5" fillId="4" borderId="0" xfId="0" applyFont="1" applyFill="1" applyBorder="1" applyAlignment="1">
      <alignment horizontal="center" vertical="center" wrapText="1"/>
    </xf>
    <xf numFmtId="0" fontId="8" fillId="4" borderId="5" xfId="0" applyFont="1" applyFill="1" applyBorder="1" applyAlignment="1" applyProtection="1">
      <alignment horizontal="center" vertical="center" wrapText="1"/>
      <protection locked="0"/>
    </xf>
    <xf numFmtId="0" fontId="8" fillId="4" borderId="0" xfId="0" applyFont="1" applyFill="1" applyAlignment="1">
      <alignment wrapText="1"/>
    </xf>
    <xf numFmtId="0" fontId="8" fillId="4" borderId="0" xfId="0" applyFont="1" applyFill="1" applyBorder="1" applyAlignment="1">
      <alignment wrapText="1"/>
    </xf>
    <xf numFmtId="0" fontId="8" fillId="0" borderId="0" xfId="0" applyFont="1" applyAlignment="1">
      <alignment wrapText="1"/>
    </xf>
    <xf numFmtId="0" fontId="0" fillId="4" borderId="1" xfId="0" applyFill="1" applyBorder="1" applyAlignment="1">
      <alignment wrapText="1"/>
    </xf>
    <xf numFmtId="0" fontId="18" fillId="2" borderId="4" xfId="0" applyFont="1" applyFill="1" applyBorder="1" applyAlignment="1">
      <alignment horizontal="center" vertical="center" wrapText="1"/>
    </xf>
    <xf numFmtId="0" fontId="18" fillId="4" borderId="5" xfId="0" applyFont="1" applyFill="1" applyBorder="1" applyAlignment="1" applyProtection="1">
      <alignment horizontal="center" vertical="center" wrapText="1"/>
      <protection locked="0"/>
    </xf>
    <xf numFmtId="0" fontId="18" fillId="4" borderId="5" xfId="0" applyFont="1" applyFill="1" applyBorder="1" applyAlignment="1" applyProtection="1">
      <alignment vertical="center" wrapText="1"/>
      <protection locked="0"/>
    </xf>
    <xf numFmtId="0" fontId="18" fillId="2" borderId="5" xfId="0" applyFont="1" applyFill="1" applyBorder="1" applyAlignment="1" applyProtection="1">
      <alignment horizontal="center" vertical="center" wrapText="1"/>
      <protection locked="0"/>
    </xf>
    <xf numFmtId="0" fontId="18" fillId="4" borderId="16" xfId="0" applyNumberFormat="1" applyFont="1" applyFill="1" applyBorder="1" applyAlignment="1">
      <alignment horizontal="left" vertical="center" wrapText="1"/>
    </xf>
    <xf numFmtId="0" fontId="18" fillId="4" borderId="16" xfId="0" applyFont="1" applyFill="1" applyBorder="1" applyAlignment="1">
      <alignment horizontal="left" vertical="center" wrapText="1"/>
    </xf>
    <xf numFmtId="0" fontId="0" fillId="4" borderId="5" xfId="0" applyFont="1" applyFill="1" applyBorder="1" applyAlignment="1" applyProtection="1">
      <alignment horizontal="center" vertical="center" wrapText="1"/>
      <protection locked="0"/>
    </xf>
    <xf numFmtId="0" fontId="18" fillId="4" borderId="16" xfId="0" applyFont="1" applyFill="1" applyBorder="1" applyAlignment="1">
      <alignment horizontal="left" vertical="center" wrapText="1"/>
    </xf>
    <xf numFmtId="0" fontId="19" fillId="4" borderId="7" xfId="1" applyFont="1" applyFill="1" applyBorder="1" applyAlignment="1">
      <alignment horizontal="center" vertical="center" wrapText="1"/>
    </xf>
    <xf numFmtId="0" fontId="20" fillId="4" borderId="7" xfId="1" applyFont="1" applyFill="1" applyBorder="1" applyAlignment="1" applyProtection="1">
      <alignment horizontal="center" vertical="center" wrapText="1" shrinkToFit="1"/>
    </xf>
    <xf numFmtId="3" fontId="21" fillId="4" borderId="7" xfId="1" applyNumberFormat="1" applyFont="1" applyFill="1" applyBorder="1" applyAlignment="1">
      <alignment horizontal="center" vertical="center"/>
    </xf>
    <xf numFmtId="0" fontId="18" fillId="4" borderId="16" xfId="0" applyFont="1" applyFill="1" applyBorder="1" applyAlignment="1">
      <alignment horizontal="center" vertical="center" wrapText="1"/>
    </xf>
    <xf numFmtId="0" fontId="23" fillId="4" borderId="16" xfId="0" applyFont="1" applyFill="1" applyBorder="1" applyAlignment="1">
      <alignment horizontal="center" vertical="center" wrapText="1"/>
    </xf>
    <xf numFmtId="0" fontId="18" fillId="4" borderId="16" xfId="0" applyFont="1" applyFill="1" applyBorder="1" applyAlignment="1">
      <alignment vertical="center" wrapText="1"/>
    </xf>
    <xf numFmtId="0" fontId="18" fillId="4" borderId="16" xfId="0" applyFont="1" applyFill="1" applyBorder="1" applyAlignment="1">
      <alignment wrapText="1"/>
    </xf>
    <xf numFmtId="0" fontId="22" fillId="4" borderId="16" xfId="0" applyFont="1" applyFill="1" applyBorder="1" applyAlignment="1">
      <alignment horizontal="center" vertical="center" wrapText="1"/>
    </xf>
    <xf numFmtId="0" fontId="22" fillId="4" borderId="16" xfId="0" applyFont="1" applyFill="1" applyBorder="1" applyAlignment="1">
      <alignment horizontal="right" vertical="center" wrapText="1"/>
    </xf>
    <xf numFmtId="0" fontId="0" fillId="4" borderId="16" xfId="0" applyFill="1" applyBorder="1" applyAlignment="1">
      <alignment wrapText="1"/>
    </xf>
    <xf numFmtId="0" fontId="18" fillId="4" borderId="18" xfId="0" applyFont="1" applyFill="1" applyBorder="1" applyAlignment="1">
      <alignment wrapText="1"/>
    </xf>
    <xf numFmtId="0" fontId="18" fillId="4" borderId="18" xfId="0" applyFont="1" applyFill="1" applyBorder="1" applyAlignment="1">
      <alignment vertical="center" wrapText="1"/>
    </xf>
    <xf numFmtId="0" fontId="18" fillId="2" borderId="4" xfId="0" applyFont="1" applyFill="1" applyBorder="1" applyAlignment="1" applyProtection="1">
      <alignment horizontal="center" vertical="center" wrapText="1"/>
    </xf>
    <xf numFmtId="2" fontId="18" fillId="0" borderId="5" xfId="0" applyNumberFormat="1" applyFont="1" applyFill="1" applyBorder="1" applyAlignment="1" applyProtection="1">
      <alignment horizontal="center" vertical="center" wrapText="1"/>
      <protection locked="0"/>
    </xf>
    <xf numFmtId="14" fontId="18" fillId="2" borderId="5" xfId="0" applyNumberFormat="1" applyFont="1" applyFill="1" applyBorder="1" applyAlignment="1" applyProtection="1">
      <alignment horizontal="center" vertical="center" wrapText="1"/>
      <protection locked="0"/>
    </xf>
    <xf numFmtId="165" fontId="18" fillId="2" borderId="5" xfId="0" applyNumberFormat="1" applyFont="1" applyFill="1" applyBorder="1" applyAlignment="1" applyProtection="1">
      <alignment horizontal="center" vertical="center" wrapText="1"/>
      <protection locked="0"/>
    </xf>
    <xf numFmtId="0" fontId="27" fillId="2" borderId="2" xfId="6" applyFont="1" applyFill="1" applyBorder="1" applyAlignment="1">
      <alignment horizontal="center" vertical="center" wrapText="1"/>
    </xf>
    <xf numFmtId="165" fontId="18" fillId="2" borderId="3" xfId="0" applyNumberFormat="1" applyFont="1" applyFill="1" applyBorder="1" applyAlignment="1" applyProtection="1">
      <alignment horizontal="center" vertical="center" wrapText="1"/>
      <protection locked="0"/>
    </xf>
    <xf numFmtId="0" fontId="31" fillId="4" borderId="16" xfId="0" applyFont="1" applyFill="1" applyBorder="1" applyAlignment="1">
      <alignment horizontal="center" vertical="center" wrapText="1"/>
    </xf>
    <xf numFmtId="165" fontId="17" fillId="2" borderId="3" xfId="0" applyNumberFormat="1" applyFont="1" applyFill="1" applyBorder="1" applyAlignment="1" applyProtection="1">
      <alignment horizontal="center" vertical="center" wrapText="1"/>
    </xf>
    <xf numFmtId="0" fontId="22" fillId="4" borderId="16" xfId="0" applyFont="1" applyFill="1" applyBorder="1" applyAlignment="1">
      <alignment horizontal="center" vertical="center" wrapText="1"/>
    </xf>
    <xf numFmtId="0" fontId="23" fillId="2" borderId="5" xfId="0" applyFont="1" applyFill="1" applyBorder="1" applyAlignment="1" applyProtection="1">
      <alignment horizontal="center" vertical="center" wrapText="1"/>
      <protection locked="0"/>
    </xf>
    <xf numFmtId="0" fontId="5" fillId="4" borderId="20"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10" fillId="3" borderId="2" xfId="0" applyFont="1" applyFill="1" applyBorder="1" applyAlignment="1" applyProtection="1">
      <alignment horizontal="center" vertical="center" wrapText="1"/>
    </xf>
    <xf numFmtId="0" fontId="10" fillId="3" borderId="3" xfId="0" applyFont="1" applyFill="1" applyBorder="1" applyAlignment="1" applyProtection="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0" fillId="4" borderId="1" xfId="0" applyFill="1" applyBorder="1" applyAlignment="1" applyProtection="1">
      <alignment horizontal="center" vertical="center" wrapText="1"/>
    </xf>
    <xf numFmtId="0" fontId="0" fillId="4" borderId="6" xfId="0"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11" fillId="3" borderId="3"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0" fontId="0" fillId="4" borderId="1" xfId="0" applyFill="1" applyBorder="1" applyAlignment="1" applyProtection="1">
      <alignment horizontal="center" wrapText="1"/>
    </xf>
    <xf numFmtId="0" fontId="0" fillId="4" borderId="6" xfId="0" applyFill="1" applyBorder="1" applyAlignment="1" applyProtection="1">
      <alignment horizontal="center" wrapText="1"/>
    </xf>
    <xf numFmtId="0" fontId="0" fillId="4" borderId="8" xfId="0" applyFill="1" applyBorder="1" applyAlignment="1" applyProtection="1">
      <alignment horizontal="center" vertical="center" wrapText="1"/>
    </xf>
    <xf numFmtId="0" fontId="0" fillId="4" borderId="9" xfId="0" applyFill="1" applyBorder="1" applyAlignment="1" applyProtection="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 xfId="0" applyFill="1" applyBorder="1" applyAlignment="1">
      <alignment horizontal="center" wrapText="1"/>
    </xf>
    <xf numFmtId="0" fontId="0" fillId="4" borderId="6" xfId="0" applyFill="1" applyBorder="1" applyAlignment="1">
      <alignment horizontal="center" wrapText="1"/>
    </xf>
    <xf numFmtId="0" fontId="0" fillId="4" borderId="10" xfId="0" applyFill="1" applyBorder="1" applyAlignment="1" applyProtection="1">
      <alignment horizontal="center" vertical="center" wrapText="1"/>
    </xf>
    <xf numFmtId="0" fontId="0" fillId="4" borderId="11" xfId="0" applyFill="1" applyBorder="1" applyAlignment="1" applyProtection="1">
      <alignment horizontal="center" vertical="center" wrapText="1"/>
    </xf>
    <xf numFmtId="0" fontId="18" fillId="4" borderId="2"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7" fillId="4" borderId="0" xfId="0" applyFont="1" applyFill="1" applyBorder="1" applyAlignment="1">
      <alignment horizontal="center" wrapText="1"/>
    </xf>
    <xf numFmtId="0" fontId="0" fillId="4" borderId="2" xfId="0" applyFill="1" applyBorder="1" applyAlignment="1" applyProtection="1">
      <alignment horizontal="center" vertical="center" wrapText="1"/>
    </xf>
    <xf numFmtId="0" fontId="0" fillId="4" borderId="3" xfId="0" applyFill="1" applyBorder="1" applyAlignment="1" applyProtection="1">
      <alignment horizontal="center" vertical="center" wrapText="1"/>
    </xf>
    <xf numFmtId="0" fontId="4" fillId="4" borderId="2"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wrapText="1"/>
    </xf>
    <xf numFmtId="0" fontId="0" fillId="4" borderId="17" xfId="0" applyFill="1" applyBorder="1" applyAlignment="1">
      <alignment horizontal="center" wrapText="1"/>
    </xf>
    <xf numFmtId="0" fontId="32" fillId="2" borderId="2" xfId="0" applyFont="1" applyFill="1" applyBorder="1" applyAlignment="1">
      <alignment horizontal="left" vertical="center" wrapText="1"/>
    </xf>
    <xf numFmtId="0" fontId="32" fillId="2" borderId="3"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0" fillId="4" borderId="2" xfId="0" applyFill="1" applyBorder="1" applyAlignment="1">
      <alignment horizontal="center" wrapText="1"/>
    </xf>
    <xf numFmtId="0" fontId="0" fillId="4" borderId="3" xfId="0" applyFill="1" applyBorder="1" applyAlignment="1">
      <alignment horizont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0" xfId="0" applyFill="1" applyAlignment="1">
      <alignment horizontal="center" wrapText="1"/>
    </xf>
    <xf numFmtId="0" fontId="0" fillId="4" borderId="10" xfId="0" applyFill="1" applyBorder="1" applyAlignment="1">
      <alignment horizontal="center" wrapText="1"/>
    </xf>
    <xf numFmtId="0" fontId="0" fillId="4" borderId="11" xfId="0" applyFill="1" applyBorder="1" applyAlignment="1">
      <alignment horizontal="center" wrapText="1"/>
    </xf>
    <xf numFmtId="0" fontId="18" fillId="4" borderId="12"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9" fillId="4" borderId="0" xfId="1" applyFont="1" applyFill="1" applyAlignment="1">
      <alignment horizontal="center" vertical="center" wrapText="1"/>
    </xf>
    <xf numFmtId="0" fontId="0" fillId="4" borderId="0" xfId="0" applyFill="1" applyBorder="1" applyAlignment="1">
      <alignment horizontal="center" wrapText="1"/>
    </xf>
    <xf numFmtId="0" fontId="12" fillId="3" borderId="10"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26" fillId="4" borderId="16" xfId="0" applyFont="1" applyFill="1" applyBorder="1" applyAlignment="1">
      <alignment horizontal="center" vertical="center" wrapText="1"/>
    </xf>
    <xf numFmtId="0" fontId="26" fillId="4" borderId="15" xfId="0" applyFont="1" applyFill="1" applyBorder="1" applyAlignment="1">
      <alignment horizontal="center" vertical="center" wrapText="1"/>
    </xf>
    <xf numFmtId="165" fontId="26" fillId="4" borderId="16" xfId="0" applyNumberFormat="1" applyFont="1" applyFill="1" applyBorder="1" applyAlignment="1">
      <alignment horizontal="center" vertical="center" wrapText="1"/>
    </xf>
    <xf numFmtId="165" fontId="26" fillId="4" borderId="15" xfId="0" applyNumberFormat="1"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4" fillId="4" borderId="16" xfId="0" applyFont="1" applyFill="1" applyBorder="1" applyAlignment="1">
      <alignment horizontal="left" vertical="top" wrapText="1"/>
    </xf>
    <xf numFmtId="0" fontId="19" fillId="4" borderId="24" xfId="1" applyFont="1" applyFill="1" applyBorder="1" applyAlignment="1">
      <alignment horizontal="center" vertical="center" wrapText="1"/>
    </xf>
    <xf numFmtId="0" fontId="19" fillId="4" borderId="25" xfId="1" applyFont="1" applyFill="1" applyBorder="1" applyAlignment="1">
      <alignment horizontal="center" vertical="center" wrapText="1"/>
    </xf>
  </cellXfs>
  <cellStyles count="7">
    <cellStyle name="Heading" xfId="2" xr:uid="{00000000-0005-0000-0000-000000000000}"/>
    <cellStyle name="Heading1" xfId="3" xr:uid="{00000000-0005-0000-0000-000001000000}"/>
    <cellStyle name="Lien hypertexte" xfId="6" builtinId="8"/>
    <cellStyle name="Normal" xfId="0" builtinId="0"/>
    <cellStyle name="Normal 2" xfId="1" xr:uid="{00000000-0005-0000-0000-000004000000}"/>
    <cellStyle name="Result" xfId="4" xr:uid="{00000000-0005-0000-0000-000005000000}"/>
    <cellStyle name="Result2" xfId="5" xr:uid="{00000000-0005-0000-0000-000006000000}"/>
  </cellStyles>
  <dxfs count="0"/>
  <tableStyles count="0" defaultTableStyle="TableStyleMedium2" defaultPivotStyle="PivotStyleLight16"/>
  <colors>
    <mruColors>
      <color rgb="FFA71B35"/>
      <color rgb="FFD4D3D2"/>
      <color rgb="FFC2002F"/>
      <color rgb="FFB6B5B4"/>
      <color rgb="FFEE0039"/>
      <color rgb="FFFE003C"/>
      <color rgb="FFCC1A1A"/>
      <color rgb="FFF74F4F"/>
      <color rgb="FFF62E2E"/>
      <color rgb="FFFF53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13.emf"/><Relationship Id="rId13" Type="http://schemas.openxmlformats.org/officeDocument/2006/relationships/image" Target="../media/image2.emf"/><Relationship Id="rId3" Type="http://schemas.openxmlformats.org/officeDocument/2006/relationships/image" Target="../media/image8.emf"/><Relationship Id="rId7" Type="http://schemas.openxmlformats.org/officeDocument/2006/relationships/image" Target="../media/image12.emf"/><Relationship Id="rId12" Type="http://schemas.openxmlformats.org/officeDocument/2006/relationships/image" Target="../media/image3.emf"/><Relationship Id="rId2" Type="http://schemas.openxmlformats.org/officeDocument/2006/relationships/image" Target="../media/image6.emf"/><Relationship Id="rId1" Type="http://schemas.openxmlformats.org/officeDocument/2006/relationships/image" Target="../media/image7.emf"/><Relationship Id="rId6" Type="http://schemas.openxmlformats.org/officeDocument/2006/relationships/image" Target="../media/image11.emf"/><Relationship Id="rId11" Type="http://schemas.openxmlformats.org/officeDocument/2006/relationships/image" Target="../media/image4.emf"/><Relationship Id="rId5" Type="http://schemas.openxmlformats.org/officeDocument/2006/relationships/image" Target="../media/image10.emf"/><Relationship Id="rId10" Type="http://schemas.openxmlformats.org/officeDocument/2006/relationships/image" Target="../media/image5.emf"/><Relationship Id="rId4" Type="http://schemas.openxmlformats.org/officeDocument/2006/relationships/image" Target="../media/image9.emf"/><Relationship Id="rId9" Type="http://schemas.openxmlformats.org/officeDocument/2006/relationships/image" Target="../media/image14.emf"/><Relationship Id="rId1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122848</xdr:colOff>
      <xdr:row>0</xdr:row>
      <xdr:rowOff>109046</xdr:rowOff>
    </xdr:from>
    <xdr:to>
      <xdr:col>1</xdr:col>
      <xdr:colOff>1631097</xdr:colOff>
      <xdr:row>1</xdr:row>
      <xdr:rowOff>377998</xdr:rowOff>
    </xdr:to>
    <xdr:pic>
      <xdr:nvPicPr>
        <xdr:cNvPr id="2" name="Imag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848" y="109046"/>
          <a:ext cx="1997499" cy="918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7</xdr:col>
      <xdr:colOff>0</xdr:colOff>
      <xdr:row>26</xdr:row>
      <xdr:rowOff>381000</xdr:rowOff>
    </xdr:from>
    <xdr:ext cx="184731" cy="264560"/>
    <xdr:sp macro="" textlink="">
      <xdr:nvSpPr>
        <xdr:cNvPr id="3" name="ZoneTexte 2">
          <a:extLst>
            <a:ext uri="{FF2B5EF4-FFF2-40B4-BE49-F238E27FC236}">
              <a16:creationId xmlns:a16="http://schemas.microsoft.com/office/drawing/2014/main" id="{00000000-0008-0000-0000-000003000000}"/>
            </a:ext>
          </a:extLst>
        </xdr:cNvPr>
        <xdr:cNvSpPr txBox="1"/>
      </xdr:nvSpPr>
      <xdr:spPr>
        <a:xfrm>
          <a:off x="24435955" y="110663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mc:AlternateContent xmlns:mc="http://schemas.openxmlformats.org/markup-compatibility/2006">
    <mc:Choice xmlns:a14="http://schemas.microsoft.com/office/drawing/2010/main" Requires="a14">
      <xdr:twoCellAnchor editAs="oneCell">
        <xdr:from>
          <xdr:col>5</xdr:col>
          <xdr:colOff>9525</xdr:colOff>
          <xdr:row>20</xdr:row>
          <xdr:rowOff>9525</xdr:rowOff>
        </xdr:from>
        <xdr:to>
          <xdr:col>5</xdr:col>
          <xdr:colOff>2181225</xdr:colOff>
          <xdr:row>20</xdr:row>
          <xdr:rowOff>742950</xdr:rowOff>
        </xdr:to>
        <xdr:sp macro="" textlink="">
          <xdr:nvSpPr>
            <xdr:cNvPr id="1101" name="Liste_Distances"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12</xdr:row>
          <xdr:rowOff>9525</xdr:rowOff>
        </xdr:from>
        <xdr:to>
          <xdr:col>2</xdr:col>
          <xdr:colOff>2152650</xdr:colOff>
          <xdr:row>12</xdr:row>
          <xdr:rowOff>466725</xdr:rowOff>
        </xdr:to>
        <xdr:sp macro="" textlink="">
          <xdr:nvSpPr>
            <xdr:cNvPr id="1102" name="Liste_Situation_Familiale"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14</xdr:row>
          <xdr:rowOff>9525</xdr:rowOff>
        </xdr:from>
        <xdr:to>
          <xdr:col>2</xdr:col>
          <xdr:colOff>2143125</xdr:colOff>
          <xdr:row>14</xdr:row>
          <xdr:rowOff>466725</xdr:rowOff>
        </xdr:to>
        <xdr:sp macro="" textlink="">
          <xdr:nvSpPr>
            <xdr:cNvPr id="1103" name="Liste_Pupille"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xdr:row>
          <xdr:rowOff>9525</xdr:rowOff>
        </xdr:from>
        <xdr:to>
          <xdr:col>2</xdr:col>
          <xdr:colOff>2143125</xdr:colOff>
          <xdr:row>16</xdr:row>
          <xdr:rowOff>619125</xdr:rowOff>
        </xdr:to>
        <xdr:sp macro="" textlink="">
          <xdr:nvSpPr>
            <xdr:cNvPr id="1104" name="Liste_Incapacite_1"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xdr:row>
          <xdr:rowOff>9525</xdr:rowOff>
        </xdr:from>
        <xdr:to>
          <xdr:col>2</xdr:col>
          <xdr:colOff>2143125</xdr:colOff>
          <xdr:row>18</xdr:row>
          <xdr:rowOff>714375</xdr:rowOff>
        </xdr:to>
        <xdr:sp macro="" textlink="">
          <xdr:nvSpPr>
            <xdr:cNvPr id="1105" name="Liste_Incapacite_2"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xdr:row>
          <xdr:rowOff>342900</xdr:rowOff>
        </xdr:from>
        <xdr:to>
          <xdr:col>2</xdr:col>
          <xdr:colOff>2143125</xdr:colOff>
          <xdr:row>22</xdr:row>
          <xdr:rowOff>809625</xdr:rowOff>
        </xdr:to>
        <xdr:sp macro="" textlink="">
          <xdr:nvSpPr>
            <xdr:cNvPr id="1106" name="Liste_Etudiant_Inscrit_PE"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xdr:row>
          <xdr:rowOff>9525</xdr:rowOff>
        </xdr:from>
        <xdr:to>
          <xdr:col>2</xdr:col>
          <xdr:colOff>2143125</xdr:colOff>
          <xdr:row>24</xdr:row>
          <xdr:rowOff>619125</xdr:rowOff>
        </xdr:to>
        <xdr:sp macro="" textlink="">
          <xdr:nvSpPr>
            <xdr:cNvPr id="1107" name="Liste_Activite_Pro"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xdr:row>
          <xdr:rowOff>9525</xdr:rowOff>
        </xdr:from>
        <xdr:to>
          <xdr:col>2</xdr:col>
          <xdr:colOff>2162175</xdr:colOff>
          <xdr:row>30</xdr:row>
          <xdr:rowOff>676275</xdr:rowOff>
        </xdr:to>
        <xdr:sp macro="" textlink="">
          <xdr:nvSpPr>
            <xdr:cNvPr id="1109" name="Liste_DE_Indemnise"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xdr:row>
          <xdr:rowOff>9525</xdr:rowOff>
        </xdr:from>
        <xdr:to>
          <xdr:col>2</xdr:col>
          <xdr:colOff>2162175</xdr:colOff>
          <xdr:row>32</xdr:row>
          <xdr:rowOff>809625</xdr:rowOff>
        </xdr:to>
        <xdr:sp macro="" textlink="">
          <xdr:nvSpPr>
            <xdr:cNvPr id="1110" name="Liste_Indemnise_Total"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9525</xdr:rowOff>
        </xdr:from>
        <xdr:to>
          <xdr:col>2</xdr:col>
          <xdr:colOff>2162175</xdr:colOff>
          <xdr:row>36</xdr:row>
          <xdr:rowOff>657225</xdr:rowOff>
        </xdr:to>
        <xdr:sp macro="" textlink="">
          <xdr:nvSpPr>
            <xdr:cNvPr id="1111" name="Liste_Exerce_Activite_Pro"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9525</xdr:rowOff>
        </xdr:from>
        <xdr:to>
          <xdr:col>2</xdr:col>
          <xdr:colOff>2162175</xdr:colOff>
          <xdr:row>40</xdr:row>
          <xdr:rowOff>781050</xdr:rowOff>
        </xdr:to>
        <xdr:sp macro="" textlink="">
          <xdr:nvSpPr>
            <xdr:cNvPr id="1112" name="Liste_Autre_Situation"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xdr:row>
          <xdr:rowOff>9525</xdr:rowOff>
        </xdr:from>
        <xdr:to>
          <xdr:col>5</xdr:col>
          <xdr:colOff>2200275</xdr:colOff>
          <xdr:row>8</xdr:row>
          <xdr:rowOff>428625</xdr:rowOff>
        </xdr:to>
        <xdr:sp macro="" textlink="">
          <xdr:nvSpPr>
            <xdr:cNvPr id="1113" name="Liste_Avis_Impot_Nom"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xdr:row>
          <xdr:rowOff>9525</xdr:rowOff>
        </xdr:from>
        <xdr:to>
          <xdr:col>5</xdr:col>
          <xdr:colOff>2200275</xdr:colOff>
          <xdr:row>12</xdr:row>
          <xdr:rowOff>466725</xdr:rowOff>
        </xdr:to>
        <xdr:sp macro="" textlink="">
          <xdr:nvSpPr>
            <xdr:cNvPr id="1114" name="Liste_Domicile_Distinct"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9525</xdr:rowOff>
        </xdr:from>
        <xdr:to>
          <xdr:col>5</xdr:col>
          <xdr:colOff>2190750</xdr:colOff>
          <xdr:row>14</xdr:row>
          <xdr:rowOff>466725</xdr:rowOff>
        </xdr:to>
        <xdr:sp macro="" textlink="">
          <xdr:nvSpPr>
            <xdr:cNvPr id="1115" name="Liste_Eleve_Seul"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28</xdr:row>
          <xdr:rowOff>9525</xdr:rowOff>
        </xdr:from>
        <xdr:to>
          <xdr:col>5</xdr:col>
          <xdr:colOff>2181225</xdr:colOff>
          <xdr:row>28</xdr:row>
          <xdr:rowOff>1009650</xdr:rowOff>
        </xdr:to>
        <xdr:sp macro="" textlink="">
          <xdr:nvSpPr>
            <xdr:cNvPr id="1116" name="Liste_Situation_Parents"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xdr:row>
          <xdr:rowOff>9525</xdr:rowOff>
        </xdr:from>
        <xdr:to>
          <xdr:col>5</xdr:col>
          <xdr:colOff>2181225</xdr:colOff>
          <xdr:row>30</xdr:row>
          <xdr:rowOff>676275</xdr:rowOff>
        </xdr:to>
        <xdr:sp macro="" textlink="">
          <xdr:nvSpPr>
            <xdr:cNvPr id="1117" name="Liste_Divorces_Separes"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32</xdr:row>
          <xdr:rowOff>9525</xdr:rowOff>
        </xdr:from>
        <xdr:to>
          <xdr:col>5</xdr:col>
          <xdr:colOff>2181225</xdr:colOff>
          <xdr:row>33</xdr:row>
          <xdr:rowOff>0</xdr:rowOff>
        </xdr:to>
        <xdr:sp macro="" textlink="">
          <xdr:nvSpPr>
            <xdr:cNvPr id="1118" name="Liste_Deces_Parents"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ontrol" Target="../activeX/activeX5.xml"/><Relationship Id="rId18" Type="http://schemas.openxmlformats.org/officeDocument/2006/relationships/control" Target="../activeX/activeX8.xml"/><Relationship Id="rId26" Type="http://schemas.openxmlformats.org/officeDocument/2006/relationships/image" Target="../media/image10.emf"/><Relationship Id="rId3" Type="http://schemas.openxmlformats.org/officeDocument/2006/relationships/drawing" Target="../drawings/drawing1.xml"/><Relationship Id="rId21" Type="http://schemas.openxmlformats.org/officeDocument/2006/relationships/control" Target="../activeX/activeX10.xml"/><Relationship Id="rId34" Type="http://schemas.openxmlformats.org/officeDocument/2006/relationships/control" Target="../activeX/activeX17.xml"/><Relationship Id="rId7" Type="http://schemas.openxmlformats.org/officeDocument/2006/relationships/control" Target="../activeX/activeX2.xml"/><Relationship Id="rId12" Type="http://schemas.openxmlformats.org/officeDocument/2006/relationships/image" Target="../media/image4.emf"/><Relationship Id="rId17" Type="http://schemas.openxmlformats.org/officeDocument/2006/relationships/image" Target="../media/image6.emf"/><Relationship Id="rId25" Type="http://schemas.openxmlformats.org/officeDocument/2006/relationships/control" Target="../activeX/activeX12.xml"/><Relationship Id="rId33" Type="http://schemas.openxmlformats.org/officeDocument/2006/relationships/image" Target="../media/image13.emf"/><Relationship Id="rId2" Type="http://schemas.openxmlformats.org/officeDocument/2006/relationships/printerSettings" Target="../printerSettings/printerSettings1.bin"/><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image" Target="../media/image11.emf"/><Relationship Id="rId1" Type="http://schemas.openxmlformats.org/officeDocument/2006/relationships/hyperlink" Target="https://www.viamichelin.fr/itineraires" TargetMode="External"/><Relationship Id="rId6" Type="http://schemas.openxmlformats.org/officeDocument/2006/relationships/image" Target="../media/image1.emf"/><Relationship Id="rId11" Type="http://schemas.openxmlformats.org/officeDocument/2006/relationships/control" Target="../activeX/activeX4.xml"/><Relationship Id="rId24" Type="http://schemas.openxmlformats.org/officeDocument/2006/relationships/image" Target="../media/image9.emf"/><Relationship Id="rId32" Type="http://schemas.openxmlformats.org/officeDocument/2006/relationships/control" Target="../activeX/activeX16.xml"/><Relationship Id="rId5" Type="http://schemas.openxmlformats.org/officeDocument/2006/relationships/control" Target="../activeX/activeX1.xml"/><Relationship Id="rId15" Type="http://schemas.openxmlformats.org/officeDocument/2006/relationships/image" Target="../media/image5.emf"/><Relationship Id="rId23" Type="http://schemas.openxmlformats.org/officeDocument/2006/relationships/control" Target="../activeX/activeX11.xml"/><Relationship Id="rId28" Type="http://schemas.openxmlformats.org/officeDocument/2006/relationships/control" Target="../activeX/activeX14.xml"/><Relationship Id="rId10" Type="http://schemas.openxmlformats.org/officeDocument/2006/relationships/image" Target="../media/image3.emf"/><Relationship Id="rId19" Type="http://schemas.openxmlformats.org/officeDocument/2006/relationships/image" Target="../media/image7.emf"/><Relationship Id="rId31" Type="http://schemas.openxmlformats.org/officeDocument/2006/relationships/image" Target="../media/image12.emf"/><Relationship Id="rId4" Type="http://schemas.openxmlformats.org/officeDocument/2006/relationships/vmlDrawing" Target="../drawings/vmlDrawing1.vml"/><Relationship Id="rId9" Type="http://schemas.openxmlformats.org/officeDocument/2006/relationships/control" Target="../activeX/activeX3.xml"/><Relationship Id="rId14" Type="http://schemas.openxmlformats.org/officeDocument/2006/relationships/control" Target="../activeX/activeX6.xml"/><Relationship Id="rId22" Type="http://schemas.openxmlformats.org/officeDocument/2006/relationships/image" Target="../media/image8.emf"/><Relationship Id="rId27" Type="http://schemas.openxmlformats.org/officeDocument/2006/relationships/control" Target="../activeX/activeX13.xml"/><Relationship Id="rId30" Type="http://schemas.openxmlformats.org/officeDocument/2006/relationships/control" Target="../activeX/activeX15.xml"/><Relationship Id="rId35" Type="http://schemas.openxmlformats.org/officeDocument/2006/relationships/image" Target="../media/image14.emf"/><Relationship Id="rId8" Type="http://schemas.openxmlformats.org/officeDocument/2006/relationships/image" Target="../media/image2.emf"/></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G51"/>
  <sheetViews>
    <sheetView showGridLines="0" tabSelected="1" topLeftCell="A15" zoomScale="90" zoomScaleNormal="90" workbookViewId="0">
      <selection activeCell="E11" sqref="E11"/>
    </sheetView>
  </sheetViews>
  <sheetFormatPr baseColWidth="10" defaultColWidth="11.42578125" defaultRowHeight="15" x14ac:dyDescent="0.25"/>
  <cols>
    <col min="1" max="1" width="7.28515625" style="1" customWidth="1"/>
    <col min="2" max="2" width="47.5703125" style="1" customWidth="1"/>
    <col min="3" max="3" width="32.7109375" style="9" customWidth="1"/>
    <col min="4" max="4" width="10.5703125" style="1" customWidth="1"/>
    <col min="5" max="5" width="64.7109375" style="1" customWidth="1"/>
    <col min="6" max="6" width="33.140625" style="9" customWidth="1"/>
    <col min="7" max="7" width="18" style="1" customWidth="1"/>
    <col min="8" max="16384" width="11.42578125" style="1"/>
  </cols>
  <sheetData>
    <row r="1" spans="1:7" ht="51" customHeight="1" x14ac:dyDescent="0.25">
      <c r="A1" s="85"/>
      <c r="B1" s="90" t="s">
        <v>29</v>
      </c>
      <c r="C1" s="90"/>
      <c r="D1" s="90"/>
      <c r="E1" s="90"/>
      <c r="F1" s="90"/>
      <c r="G1" s="90"/>
    </row>
    <row r="2" spans="1:7" ht="38.25" customHeight="1" thickBot="1" x14ac:dyDescent="0.3">
      <c r="A2" s="85"/>
      <c r="B2" s="90"/>
      <c r="C2" s="90"/>
      <c r="D2" s="90"/>
      <c r="E2" s="90"/>
      <c r="F2" s="90"/>
      <c r="G2" s="90"/>
    </row>
    <row r="3" spans="1:7" ht="41.25" customHeight="1" thickBot="1" x14ac:dyDescent="0.3">
      <c r="A3" s="85"/>
      <c r="B3" s="43" t="s">
        <v>20</v>
      </c>
      <c r="C3" s="44"/>
      <c r="D3" s="61"/>
      <c r="E3" s="45" t="s">
        <v>19</v>
      </c>
      <c r="F3" s="46"/>
      <c r="G3" s="90"/>
    </row>
    <row r="4" spans="1:7" ht="18.75" customHeight="1" thickBot="1" x14ac:dyDescent="0.3">
      <c r="A4" s="85"/>
      <c r="B4" s="55"/>
      <c r="C4" s="56"/>
      <c r="D4" s="61"/>
      <c r="E4" s="81"/>
      <c r="F4" s="82"/>
      <c r="G4" s="90"/>
    </row>
    <row r="5" spans="1:7" ht="30.75" customHeight="1" thickBot="1" x14ac:dyDescent="0.3">
      <c r="A5" s="85"/>
      <c r="B5" s="51" t="s">
        <v>73</v>
      </c>
      <c r="C5" s="52"/>
      <c r="D5" s="61"/>
      <c r="E5" s="47" t="s">
        <v>21</v>
      </c>
      <c r="F5" s="48"/>
      <c r="G5" s="90"/>
    </row>
    <row r="6" spans="1:7" ht="15" customHeight="1" thickBot="1" x14ac:dyDescent="0.3">
      <c r="A6" s="85"/>
      <c r="B6" s="49"/>
      <c r="C6" s="50"/>
      <c r="D6" s="61"/>
      <c r="E6" s="86"/>
      <c r="F6" s="87"/>
      <c r="G6" s="90"/>
    </row>
    <row r="7" spans="1:7" ht="34.5" customHeight="1" thickBot="1" x14ac:dyDescent="0.3">
      <c r="A7" s="85"/>
      <c r="B7" s="31" t="s">
        <v>76</v>
      </c>
      <c r="C7" s="33"/>
      <c r="D7" s="61"/>
      <c r="E7" s="11" t="s">
        <v>1</v>
      </c>
      <c r="F7" s="14"/>
      <c r="G7" s="90"/>
    </row>
    <row r="8" spans="1:7" ht="27" customHeight="1" thickBot="1" x14ac:dyDescent="0.3">
      <c r="A8" s="85"/>
      <c r="B8" s="49"/>
      <c r="C8" s="50"/>
      <c r="D8" s="61"/>
      <c r="E8" s="61"/>
      <c r="F8" s="62"/>
      <c r="G8" s="90"/>
    </row>
    <row r="9" spans="1:7" ht="36" customHeight="1" thickBot="1" x14ac:dyDescent="0.3">
      <c r="A9" s="85"/>
      <c r="B9" s="31" t="s">
        <v>67</v>
      </c>
      <c r="C9" s="33"/>
      <c r="D9" s="61"/>
      <c r="E9" s="11" t="str">
        <f>IF(OR(F7="",F7&gt;=1),"","Vous possédez un avis d'imposition à votre nom")</f>
        <v/>
      </c>
      <c r="F9" s="6" t="s">
        <v>66</v>
      </c>
      <c r="G9" s="90"/>
    </row>
    <row r="10" spans="1:7" ht="18" customHeight="1" thickBot="1" x14ac:dyDescent="0.3">
      <c r="A10" s="85"/>
      <c r="B10" s="57"/>
      <c r="C10" s="58"/>
      <c r="D10" s="61"/>
      <c r="E10" s="81"/>
      <c r="F10" s="82"/>
      <c r="G10" s="90"/>
    </row>
    <row r="11" spans="1:7" ht="43.5" customHeight="1" thickBot="1" x14ac:dyDescent="0.3">
      <c r="A11" s="85"/>
      <c r="B11" s="51" t="s">
        <v>25</v>
      </c>
      <c r="C11" s="52"/>
      <c r="D11" s="61"/>
      <c r="E11" s="11" t="str">
        <f>IF(F9="Oui","Montant des salaires et assimilés (sur votre avis d'imposition 2026 sur les revenus 2025)","")</f>
        <v/>
      </c>
      <c r="F11" s="34"/>
      <c r="G11" s="90"/>
    </row>
    <row r="12" spans="1:7" ht="27" customHeight="1" thickBot="1" x14ac:dyDescent="0.3">
      <c r="A12" s="85"/>
      <c r="B12" s="70"/>
      <c r="C12" s="71"/>
      <c r="D12" s="61"/>
      <c r="E12" s="61"/>
      <c r="F12" s="62"/>
      <c r="G12" s="90"/>
    </row>
    <row r="13" spans="1:7" ht="38.25" customHeight="1" thickBot="1" x14ac:dyDescent="0.3">
      <c r="A13" s="85"/>
      <c r="B13" s="31" t="s">
        <v>0</v>
      </c>
      <c r="C13" s="6" t="s">
        <v>66</v>
      </c>
      <c r="D13" s="61"/>
      <c r="E13" s="11" t="str">
        <f>IF(AND(F9="Oui",(F11)&gt;=10073),"Vous justifiez d'un domicile distinct de vos parents","")</f>
        <v/>
      </c>
      <c r="F13" s="6" t="s">
        <v>66</v>
      </c>
      <c r="G13" s="90"/>
    </row>
    <row r="14" spans="1:7" ht="18.75" customHeight="1" thickBot="1" x14ac:dyDescent="0.3">
      <c r="A14" s="85"/>
      <c r="B14" s="70"/>
      <c r="C14" s="71"/>
      <c r="D14" s="61"/>
      <c r="E14" s="61"/>
      <c r="F14" s="62"/>
      <c r="G14" s="90"/>
    </row>
    <row r="15" spans="1:7" ht="39" customHeight="1" thickBot="1" x14ac:dyDescent="0.3">
      <c r="A15" s="85"/>
      <c r="B15" s="31" t="s">
        <v>65</v>
      </c>
      <c r="C15" s="6" t="s">
        <v>66</v>
      </c>
      <c r="D15" s="61"/>
      <c r="E15" s="11" t="str">
        <f>IF(F7&gt;=1,"Est-ce que vous élevez seul votre ou vos enfants ?","")</f>
        <v/>
      </c>
      <c r="F15" s="6" t="s">
        <v>66</v>
      </c>
      <c r="G15" s="90"/>
    </row>
    <row r="16" spans="1:7" ht="18.75" customHeight="1" thickBot="1" x14ac:dyDescent="0.3">
      <c r="A16" s="85"/>
      <c r="B16" s="70"/>
      <c r="C16" s="71"/>
      <c r="D16" s="61"/>
      <c r="E16" s="63"/>
      <c r="F16" s="64"/>
      <c r="G16" s="90"/>
    </row>
    <row r="17" spans="1:7" ht="51" customHeight="1" thickBot="1" x14ac:dyDescent="0.3">
      <c r="A17" s="85"/>
      <c r="B17" s="31" t="s">
        <v>94</v>
      </c>
      <c r="C17" s="6" t="s">
        <v>66</v>
      </c>
      <c r="D17" s="61"/>
      <c r="E17" s="53" t="str">
        <f>IF((IF(OR(C13="Divorcé(e)",C13="Pacsé(e)",C13="Marié(e)",C13="Veuf(ve)",F7&gt;=1,C9-C7&gt;=Parametres!$B$13,AND(F13="Oui",(F11)&gt;=Parametres!$A$13)),1,0))=1,"Vous êtes indépendant financièrement","Vous êtes dépendant financièrement")</f>
        <v>Vous êtes dépendant financièrement</v>
      </c>
      <c r="F17" s="54"/>
      <c r="G17" s="90"/>
    </row>
    <row r="18" spans="1:7" ht="27" customHeight="1" thickBot="1" x14ac:dyDescent="0.3">
      <c r="A18" s="85"/>
      <c r="B18" s="72"/>
      <c r="C18" s="73"/>
      <c r="D18" s="61"/>
      <c r="E18" s="74"/>
      <c r="F18" s="74"/>
      <c r="G18" s="90"/>
    </row>
    <row r="19" spans="1:7" ht="57" customHeight="1" thickBot="1" x14ac:dyDescent="0.3">
      <c r="A19" s="85"/>
      <c r="B19" s="31" t="s">
        <v>95</v>
      </c>
      <c r="C19" s="6" t="s">
        <v>66</v>
      </c>
      <c r="D19" s="61"/>
      <c r="E19" s="53" t="s">
        <v>22</v>
      </c>
      <c r="F19" s="54">
        <v>1</v>
      </c>
      <c r="G19" s="90"/>
    </row>
    <row r="20" spans="1:7" ht="16.5" customHeight="1" thickBot="1" x14ac:dyDescent="0.3">
      <c r="A20" s="85"/>
      <c r="B20" s="70"/>
      <c r="C20" s="71"/>
      <c r="D20" s="61"/>
      <c r="E20" s="77"/>
      <c r="F20" s="78"/>
      <c r="G20" s="90"/>
    </row>
    <row r="21" spans="1:7" ht="61.5" customHeight="1" thickBot="1" x14ac:dyDescent="0.3">
      <c r="A21" s="85"/>
      <c r="B21" s="53" t="s">
        <v>24</v>
      </c>
      <c r="C21" s="54"/>
      <c r="D21" s="61"/>
      <c r="E21" s="11" t="s">
        <v>2</v>
      </c>
      <c r="F21" s="17" t="s">
        <v>66</v>
      </c>
      <c r="G21" s="90"/>
    </row>
    <row r="22" spans="1:7" ht="27" customHeight="1" thickBot="1" x14ac:dyDescent="0.3">
      <c r="A22" s="85"/>
      <c r="B22" s="59"/>
      <c r="C22" s="60"/>
      <c r="D22" s="61"/>
      <c r="E22" s="59"/>
      <c r="F22" s="60"/>
      <c r="G22" s="90"/>
    </row>
    <row r="23" spans="1:7" ht="66.75" customHeight="1" thickBot="1" x14ac:dyDescent="0.3">
      <c r="A23" s="85"/>
      <c r="B23" s="11" t="s">
        <v>74</v>
      </c>
      <c r="C23" s="12" t="s">
        <v>66</v>
      </c>
      <c r="D23" s="61"/>
      <c r="E23" s="35" t="s">
        <v>68</v>
      </c>
      <c r="F23" s="38">
        <f>F25</f>
        <v>0</v>
      </c>
      <c r="G23" s="90"/>
    </row>
    <row r="24" spans="1:7" ht="14.25" customHeight="1" thickBot="1" x14ac:dyDescent="0.3">
      <c r="A24" s="85"/>
      <c r="B24" s="67"/>
      <c r="C24" s="68"/>
      <c r="D24" s="61"/>
      <c r="E24" s="79"/>
      <c r="F24" s="80"/>
      <c r="G24" s="90"/>
    </row>
    <row r="25" spans="1:7" ht="51" customHeight="1" thickBot="1" x14ac:dyDescent="0.3">
      <c r="A25" s="85"/>
      <c r="B25" s="11" t="str">
        <f>IF(C23="Élève ou étudiant non inscrit à France Travail","Avant votre entrée en formation sanitaire et sociale, avez-vous exercé une activité professionnelle ?","")</f>
        <v/>
      </c>
      <c r="C25" s="13" t="s">
        <v>66</v>
      </c>
      <c r="D25" s="61"/>
      <c r="E25" s="11" t="str">
        <f>IF(OR(E17="Vous êtes indépendant financièrement",F33="Vos 2 parents sont décédés"),"Revenu Global Brut (différent du revenu imposable) figurant sur votre avis d'imposition 2026 sur les revenus 2025 : ","Revenu Global Brut (différent du revenu imposable) figurant sur l'avis d'imposition 2026 sur les revenus 2025 de vos parents : ")</f>
        <v xml:space="preserve">Revenu Global Brut (différent du revenu imposable) figurant sur l'avis d'imposition 2026 sur les revenus 2025 de vos parents : </v>
      </c>
      <c r="F25" s="36"/>
      <c r="G25" s="90"/>
    </row>
    <row r="26" spans="1:7" ht="14.25" customHeight="1" thickBot="1" x14ac:dyDescent="0.3">
      <c r="A26" s="85"/>
      <c r="B26" s="67"/>
      <c r="C26" s="68"/>
      <c r="D26" s="61"/>
      <c r="E26" s="81"/>
      <c r="F26" s="82"/>
      <c r="G26" s="90"/>
    </row>
    <row r="27" spans="1:7" ht="57.75" customHeight="1" thickBot="1" x14ac:dyDescent="0.3">
      <c r="A27" s="85"/>
      <c r="B27" s="11" t="str">
        <f>IF(AND(C25="Oui",C23="Élève ou étudiant non inscrit à France Travail"),"Durée de l'activité (en mois) :","")</f>
        <v/>
      </c>
      <c r="C27" s="32"/>
      <c r="D27" s="61"/>
      <c r="E27" s="47" t="s">
        <v>23</v>
      </c>
      <c r="F27" s="48"/>
      <c r="G27" s="90"/>
    </row>
    <row r="28" spans="1:7" ht="15.75" customHeight="1" thickBot="1" x14ac:dyDescent="0.3">
      <c r="A28" s="85"/>
      <c r="B28" s="67"/>
      <c r="C28" s="68"/>
      <c r="D28" s="61"/>
      <c r="E28" s="83"/>
      <c r="F28" s="84"/>
      <c r="G28" s="90"/>
    </row>
    <row r="29" spans="1:7" ht="81" customHeight="1" thickBot="1" x14ac:dyDescent="0.3">
      <c r="A29" s="85"/>
      <c r="B29" s="75" t="str">
        <f>IF(AND(C25="Oui",C23="Élève ou étudiant non inscrit à France Travail"),"ATTENTION : 
&gt; Si vous êtes inscrit à France Travail, veuillez consulter votre conseiller pour connaître vos droits à l'indemnisation chômage."&amp;"
&gt; Si vous avez travaillé et que vous n'êtes pas inscrit à France Travail, veuillez procéder à votre inscription, avant votre entrée en formation.",IF(AND(C23="Demandeur d'emploi inscrit à France Travail",C31="Non",C37="Oui"),"ATTENTION : 
&gt; Si vous êtes inscrit à France Travail, veuillez consulter votre conseiller pour connaître vos droits à l'indemnisation chômage."&amp;"
&gt; Si vous avez travaillé et que vous n'êtes pas inscrit à France Travail, veuillez procéder à votre inscription, avant votre entrée en formation.",""))</f>
        <v/>
      </c>
      <c r="C29" s="76"/>
      <c r="D29" s="61"/>
      <c r="E29" s="11" t="str">
        <f>IF(E17="Vous êtes dépendant financièrement","Situation des parents ","")</f>
        <v xml:space="preserve">Situation des parents </v>
      </c>
      <c r="F29" s="6" t="s">
        <v>66</v>
      </c>
      <c r="G29" s="90"/>
    </row>
    <row r="30" spans="1:7" ht="15.75" customHeight="1" thickBot="1" x14ac:dyDescent="0.3">
      <c r="A30" s="85"/>
      <c r="B30" s="67"/>
      <c r="C30" s="68"/>
      <c r="D30" s="61"/>
      <c r="E30" s="105"/>
      <c r="F30" s="106"/>
      <c r="G30" s="90"/>
    </row>
    <row r="31" spans="1:7" ht="55.5" customHeight="1" thickBot="1" x14ac:dyDescent="0.3">
      <c r="A31" s="85"/>
      <c r="B31" s="11" t="str">
        <f>IF(C23="Demandeur d'emploi inscrit à France Travail","Demandeur d'emploi indemnisé : ","")</f>
        <v/>
      </c>
      <c r="C31" s="12" t="s">
        <v>66</v>
      </c>
      <c r="D31" s="61"/>
      <c r="E31" s="11" t="str">
        <f>IF(F29="Vos parents sont divorcés ou séparés","Vos parents sont divorcés ou séparés","")</f>
        <v/>
      </c>
      <c r="F31" s="6" t="s">
        <v>66</v>
      </c>
      <c r="G31" s="90"/>
    </row>
    <row r="32" spans="1:7" ht="14.25" customHeight="1" thickBot="1" x14ac:dyDescent="0.3">
      <c r="A32" s="85"/>
      <c r="B32" s="88"/>
      <c r="C32" s="89"/>
      <c r="D32" s="61"/>
      <c r="E32" s="105"/>
      <c r="F32" s="106"/>
      <c r="G32" s="90"/>
    </row>
    <row r="33" spans="1:7" ht="66" customHeight="1" thickBot="1" x14ac:dyDescent="0.3">
      <c r="A33" s="85"/>
      <c r="B33" s="11" t="str">
        <f>IF(AND(C23="Demandeur d'emploi inscrit à France Travail",C31="Oui"),"Indemnisé sur la totalité du parcours de formation","")</f>
        <v/>
      </c>
      <c r="C33" s="12" t="s">
        <v>66</v>
      </c>
      <c r="D33" s="61"/>
      <c r="E33" s="11" t="str">
        <f>IF(F29="Décès d'un ou des 2 parents","Décès d'un ou des 2 parents","")</f>
        <v/>
      </c>
      <c r="F33" s="6" t="s">
        <v>66</v>
      </c>
      <c r="G33" s="90"/>
    </row>
    <row r="34" spans="1:7" ht="13.5" customHeight="1" thickBot="1" x14ac:dyDescent="0.3">
      <c r="A34" s="85"/>
      <c r="B34" s="65"/>
      <c r="C34" s="66"/>
      <c r="D34" s="61"/>
      <c r="E34" s="81"/>
      <c r="F34" s="82"/>
      <c r="G34" s="90"/>
    </row>
    <row r="35" spans="1:7" ht="58.5" customHeight="1" thickBot="1" x14ac:dyDescent="0.3">
      <c r="A35" s="85"/>
      <c r="B35" s="11" t="str">
        <f>IF(AND(C23="Demandeur d'emploi inscrit à France Travail",C31="Oui",C33="Non"),"Date de fin d'indemnisation  (JJ/MM/AAAA) :","")</f>
        <v/>
      </c>
      <c r="C35" s="33"/>
      <c r="D35" s="61"/>
      <c r="E35" s="11" t="str">
        <f>IF(E17="Vous êtes dépendant financièrement","Nombre d'enfants étudiant dans l'enseignement supérieur, à la charge fiscale des parents (NE PAS ME COMPTER) :","")</f>
        <v>Nombre d'enfants étudiant dans l'enseignement supérieur, à la charge fiscale des parents (NE PAS ME COMPTER) :</v>
      </c>
      <c r="F35" s="40"/>
      <c r="G35" s="90"/>
    </row>
    <row r="36" spans="1:7" ht="14.25" customHeight="1" thickBot="1" x14ac:dyDescent="0.3">
      <c r="A36" s="85"/>
      <c r="B36" s="65"/>
      <c r="C36" s="66"/>
      <c r="D36" s="10"/>
      <c r="E36" s="81"/>
      <c r="F36" s="82"/>
      <c r="G36" s="90"/>
    </row>
    <row r="37" spans="1:7" ht="54" customHeight="1" thickBot="1" x14ac:dyDescent="0.3">
      <c r="A37" s="85"/>
      <c r="B37" s="11" t="str">
        <f>IF(AND(C23="Demandeur d'emploi inscrit à France Travail",C31="Non"),"Avez-vous exercé une activité professionnelle avant votre entrée en formation sanitaire et sociale ?","")</f>
        <v/>
      </c>
      <c r="C37" s="12" t="s">
        <v>66</v>
      </c>
      <c r="D37" s="10"/>
      <c r="E37" s="11" t="str">
        <f>IF(E17="Vous êtes dépendant financièrement","Nombre d'enfants n'étudiant pas dans l'enseignement supérieur à la charge fiscale des parents (NE PAS ME COMPTER) : ","")</f>
        <v xml:space="preserve">Nombre d'enfants n'étudiant pas dans l'enseignement supérieur à la charge fiscale des parents (NE PAS ME COMPTER) : </v>
      </c>
      <c r="F37" s="14"/>
      <c r="G37" s="90"/>
    </row>
    <row r="38" spans="1:7" ht="12.75" customHeight="1" thickBot="1" x14ac:dyDescent="0.3">
      <c r="A38" s="85"/>
      <c r="B38" s="67"/>
      <c r="C38" s="68"/>
      <c r="D38" s="61"/>
      <c r="E38" s="91"/>
      <c r="F38" s="91"/>
      <c r="G38" s="90"/>
    </row>
    <row r="39" spans="1:7" ht="62.25" customHeight="1" thickBot="1" x14ac:dyDescent="0.3">
      <c r="A39" s="85"/>
      <c r="B39" s="11" t="str">
        <f>IF(AND(C23="Demandeur d'emploi inscrit à France Travail",C31="Non",C37="Oui"),"Durée de l'activité (en mois) :","")</f>
        <v/>
      </c>
      <c r="C39" s="14"/>
      <c r="D39" s="61"/>
      <c r="E39" s="91"/>
      <c r="F39" s="91"/>
      <c r="G39" s="90"/>
    </row>
    <row r="40" spans="1:7" ht="13.5" customHeight="1" thickBot="1" x14ac:dyDescent="0.3">
      <c r="A40" s="85"/>
      <c r="B40" s="65"/>
      <c r="C40" s="66"/>
      <c r="D40" s="61"/>
      <c r="E40" s="91"/>
      <c r="F40" s="91"/>
      <c r="G40" s="90"/>
    </row>
    <row r="41" spans="1:7" ht="63" customHeight="1" thickBot="1" x14ac:dyDescent="0.3">
      <c r="A41" s="85"/>
      <c r="B41" s="11" t="str">
        <f>IF(C23="Autre situation","Autre Situation :","")</f>
        <v/>
      </c>
      <c r="C41" s="12" t="s">
        <v>66</v>
      </c>
      <c r="D41" s="61"/>
      <c r="E41" s="91"/>
      <c r="F41" s="91"/>
      <c r="G41" s="90"/>
    </row>
    <row r="42" spans="1:7" s="2" customFormat="1" ht="46.5" customHeight="1" x14ac:dyDescent="0.25">
      <c r="A42" s="85"/>
      <c r="B42" s="69"/>
      <c r="C42" s="69"/>
      <c r="D42" s="69"/>
      <c r="E42" s="69"/>
      <c r="F42" s="69"/>
      <c r="G42" s="90"/>
    </row>
    <row r="43" spans="1:7" s="2" customFormat="1" ht="40.5" customHeight="1" thickBot="1" x14ac:dyDescent="0.3">
      <c r="A43" s="85"/>
      <c r="B43" s="69"/>
      <c r="C43" s="69"/>
      <c r="D43" s="69"/>
      <c r="E43" s="69"/>
      <c r="F43" s="69"/>
      <c r="G43" s="90"/>
    </row>
    <row r="44" spans="1:7" s="2" customFormat="1" ht="60" customHeight="1" x14ac:dyDescent="0.25">
      <c r="A44" s="69"/>
      <c r="B44" s="92" t="s">
        <v>26</v>
      </c>
      <c r="C44" s="93"/>
      <c r="D44" s="93"/>
      <c r="E44" s="93"/>
      <c r="F44" s="94"/>
      <c r="G44" s="90"/>
    </row>
    <row r="45" spans="1:7" s="2" customFormat="1" ht="38.25" customHeight="1" x14ac:dyDescent="0.25">
      <c r="A45" s="69"/>
      <c r="B45" s="41" t="s">
        <v>27</v>
      </c>
      <c r="C45" s="42"/>
      <c r="D45" s="42"/>
      <c r="E45" s="101" t="str">
        <f>IF(B48="",IF(Points_charge!C17=0,"",Points_charge!C17),"")</f>
        <v/>
      </c>
      <c r="F45" s="102"/>
      <c r="G45" s="90"/>
    </row>
    <row r="46" spans="1:7" s="2" customFormat="1" ht="35.25" customHeight="1" x14ac:dyDescent="0.25">
      <c r="A46" s="69"/>
      <c r="B46" s="41" t="s">
        <v>28</v>
      </c>
      <c r="C46" s="42"/>
      <c r="D46" s="42"/>
      <c r="E46" s="101" t="str">
        <f>IF(B48="",IF(OR(Baremes!L2="Echelon 0 bis",Baremes!L3="Echelon 0 bis",Baremes!L4="Echelon 0 bis")," Echelon 0 bis",IF(OR(Baremes!L2="Echelon 1",Baremes!L3="Echelon 1",Baremes!L4="Echelon 1"),"Echelon 1",IF(OR(Baremes!L2="Echelon 2",Baremes!L3="Echelon 2",Baremes!L4="Echelon 2"),"Echelon 2",IF(OR(Baremes!L2="Echelon 3",Baremes!L3="Echelon 3",Baremes!L4="Echelon 3"),"Echelon 3",IF(OR(Baremes!L2="Echelon 4",Baremes!L3="Echelon 4",Baremes!L4="Echelon 4"),"Echelon 4",IF(OR(Baremes!L2="Echelon 5",Baremes!L3="Echelon 5",Baremes!L4="Echelon 5"),"Echelon 5",IF(OR(Baremes!L2="Echelon 6",Baremes!L3="Echelon 6",Baremes!L4="Echelon 6"),"Echelon 6",IF(OR(Baremes!L2="Echelon 7",Baremes!L3="Echelon 7",Baremes!L4="Echelon 7")," Echelon 7","")))))))),"")</f>
        <v/>
      </c>
      <c r="F46" s="102"/>
      <c r="G46" s="90"/>
    </row>
    <row r="47" spans="1:7" s="2" customFormat="1" ht="55.5" customHeight="1" x14ac:dyDescent="0.25">
      <c r="A47" s="69"/>
      <c r="B47" s="41" t="s">
        <v>30</v>
      </c>
      <c r="C47" s="42"/>
      <c r="D47" s="42"/>
      <c r="E47" s="103" t="str">
        <f>IF(B48="",IF(OR(Baremes!L2="Echelon 0 bis",Baremes!L3="Echelon 0 bis",Baremes!L4="Echelon 0 bis"),Baremes!B22,IF(OR(Baremes!L2="Echelon 1",Baremes!L3="Echelon 1",Baremes!L4="Echelon 1"),Baremes!C22,IF(OR(Baremes!L2="Echelon 2",Baremes!L3="Echelon 2",Baremes!L4="Echelon 2"),Baremes!D22,IF(OR(Baremes!L2="Echelon 3",Baremes!L3="Echelon 3",Baremes!L4="Echelon 3"),Baremes!E22,IF(OR(Baremes!L2="Echelon 4",Baremes!L3="Echelon 4",Baremes!L4="Echelon 4"),Baremes!F22,IF(OR(Baremes!L2="Echelon 5",Baremes!L3="Echelon 5",Baremes!L4="Echelon 5"),Baremes!G22,IF(OR(Baremes!L2="Echelon 6",Baremes!L3="Echelon 6",Baremes!L4="Echelon 6"),Baremes!H22,IF(OR(Baremes!L2="Echelon 7",Baremes!L3="Echelon 7",Baremes!L4="Echelon 7"),Baremes!I22,"")))))))),"")</f>
        <v/>
      </c>
      <c r="F47" s="104"/>
      <c r="G47" s="90"/>
    </row>
    <row r="48" spans="1:7" s="2" customFormat="1" ht="48.75" customHeight="1" x14ac:dyDescent="0.25">
      <c r="A48" s="69"/>
      <c r="B48" s="98" t="str">
        <f>IF(OR(C23="Autre situation",C23="Bénéficiaire d'un contrat d'alternance",C33="Oui"),"Vous n'êtes pas éligible à la Bourse Régionale Sanitaire et Sociale","")</f>
        <v/>
      </c>
      <c r="C48" s="99"/>
      <c r="D48" s="99"/>
      <c r="E48" s="99"/>
      <c r="F48" s="100"/>
      <c r="G48" s="90"/>
    </row>
    <row r="49" spans="1:7" s="2" customFormat="1" ht="105.75" customHeight="1" thickBot="1" x14ac:dyDescent="0.3">
      <c r="A49" s="69"/>
      <c r="B49" s="95" t="s">
        <v>47</v>
      </c>
      <c r="C49" s="96"/>
      <c r="D49" s="96"/>
      <c r="E49" s="96"/>
      <c r="F49" s="97"/>
      <c r="G49" s="90"/>
    </row>
    <row r="50" spans="1:7" s="2" customFormat="1" ht="23.25" x14ac:dyDescent="0.25">
      <c r="A50" s="3"/>
      <c r="C50" s="7"/>
      <c r="D50" s="4"/>
      <c r="E50" s="4"/>
      <c r="F50" s="8"/>
      <c r="G50" s="4"/>
    </row>
    <row r="51" spans="1:7" s="2" customFormat="1" ht="23.25" x14ac:dyDescent="0.25">
      <c r="D51" s="4"/>
      <c r="E51" s="5"/>
      <c r="F51" s="8"/>
      <c r="G51" s="5"/>
    </row>
  </sheetData>
  <sheetProtection algorithmName="SHA-512" hashValue="sROv1S3jM85NP9k31Hs+3F4tbm9HkIVS4s8zCGYKpoKb2YcEa2h6DooMp/F9bVDD6UNV8JM9IAVXcx16UqRXSg==" saltValue="0UOhGm0OxkzU1yw30xAuuA==" spinCount="100000" sheet="1" objects="1" scenarios="1"/>
  <mergeCells count="62">
    <mergeCell ref="G1:G49"/>
    <mergeCell ref="D38:F41"/>
    <mergeCell ref="B44:F44"/>
    <mergeCell ref="B49:F49"/>
    <mergeCell ref="B48:F48"/>
    <mergeCell ref="E45:F45"/>
    <mergeCell ref="E46:F46"/>
    <mergeCell ref="E47:F47"/>
    <mergeCell ref="E30:F30"/>
    <mergeCell ref="E32:F32"/>
    <mergeCell ref="E34:F34"/>
    <mergeCell ref="E36:F36"/>
    <mergeCell ref="E19:F19"/>
    <mergeCell ref="E17:F17"/>
    <mergeCell ref="B24:C24"/>
    <mergeCell ref="B1:F2"/>
    <mergeCell ref="A44:A49"/>
    <mergeCell ref="E20:F20"/>
    <mergeCell ref="E22:F22"/>
    <mergeCell ref="E24:F24"/>
    <mergeCell ref="E26:F26"/>
    <mergeCell ref="E28:F28"/>
    <mergeCell ref="E27:F27"/>
    <mergeCell ref="A1:A43"/>
    <mergeCell ref="B40:C40"/>
    <mergeCell ref="B38:C38"/>
    <mergeCell ref="E8:F8"/>
    <mergeCell ref="E6:F6"/>
    <mergeCell ref="E4:F4"/>
    <mergeCell ref="B30:C30"/>
    <mergeCell ref="B32:C32"/>
    <mergeCell ref="E10:F10"/>
    <mergeCell ref="B34:C34"/>
    <mergeCell ref="B36:C36"/>
    <mergeCell ref="B28:C28"/>
    <mergeCell ref="B26:C26"/>
    <mergeCell ref="B42:F43"/>
    <mergeCell ref="D3:D35"/>
    <mergeCell ref="B12:C12"/>
    <mergeCell ref="B14:C14"/>
    <mergeCell ref="B16:C16"/>
    <mergeCell ref="B18:C18"/>
    <mergeCell ref="B20:C20"/>
    <mergeCell ref="E14:F14"/>
    <mergeCell ref="E18:F18"/>
    <mergeCell ref="B29:C29"/>
    <mergeCell ref="B45:D45"/>
    <mergeCell ref="B46:D46"/>
    <mergeCell ref="B47:D47"/>
    <mergeCell ref="B3:C3"/>
    <mergeCell ref="E3:F3"/>
    <mergeCell ref="E5:F5"/>
    <mergeCell ref="B8:C8"/>
    <mergeCell ref="B6:C6"/>
    <mergeCell ref="B11:C11"/>
    <mergeCell ref="B21:C21"/>
    <mergeCell ref="B4:C4"/>
    <mergeCell ref="B10:C10"/>
    <mergeCell ref="B5:C5"/>
    <mergeCell ref="B22:C22"/>
    <mergeCell ref="E12:F12"/>
    <mergeCell ref="E16:F16"/>
  </mergeCells>
  <hyperlinks>
    <hyperlink ref="E23" r:id="rId1" display="https://www.viamichelin.fr/itineraires" xr:uid="{C23C7BBE-BC81-4720-90D7-84DECD638157}"/>
  </hyperlinks>
  <pageMargins left="0.19685039370078741" right="0.19685039370078741" top="0.19685039370078741" bottom="0.19685039370078741" header="0.19685039370078741" footer="0.19685039370078741"/>
  <pageSetup paperSize="9" orientation="landscape" r:id="rId2"/>
  <drawing r:id="rId3"/>
  <legacyDrawing r:id="rId4"/>
  <controls>
    <mc:AlternateContent xmlns:mc="http://schemas.openxmlformats.org/markup-compatibility/2006">
      <mc:Choice Requires="x14">
        <control shapeId="1118" r:id="rId5" name="Liste_Deces_Parents">
          <controlPr defaultSize="0" autoLine="0" autoPict="0" linkedCell="$F$33" listFillRange="Parametres!$C$2:$C$5" r:id="rId6">
            <anchor moveWithCells="1">
              <from>
                <xdr:col>5</xdr:col>
                <xdr:colOff>9525</xdr:colOff>
                <xdr:row>32</xdr:row>
                <xdr:rowOff>9525</xdr:rowOff>
              </from>
              <to>
                <xdr:col>5</xdr:col>
                <xdr:colOff>2181225</xdr:colOff>
                <xdr:row>33</xdr:row>
                <xdr:rowOff>0</xdr:rowOff>
              </to>
            </anchor>
          </controlPr>
        </control>
      </mc:Choice>
      <mc:Fallback>
        <control shapeId="1118" r:id="rId5" name="Liste_Deces_Parents"/>
      </mc:Fallback>
    </mc:AlternateContent>
    <mc:AlternateContent xmlns:mc="http://schemas.openxmlformats.org/markup-compatibility/2006">
      <mc:Choice Requires="x14">
        <control shapeId="1117" r:id="rId7" name="Liste_Divorces_Separes">
          <controlPr defaultSize="0" autoLine="0" autoPict="0" linkedCell="$F$31" listFillRange="Parametres!$B$2:$B$6" r:id="rId8">
            <anchor moveWithCells="1">
              <from>
                <xdr:col>5</xdr:col>
                <xdr:colOff>9525</xdr:colOff>
                <xdr:row>30</xdr:row>
                <xdr:rowOff>9525</xdr:rowOff>
              </from>
              <to>
                <xdr:col>5</xdr:col>
                <xdr:colOff>2181225</xdr:colOff>
                <xdr:row>30</xdr:row>
                <xdr:rowOff>676275</xdr:rowOff>
              </to>
            </anchor>
          </controlPr>
        </control>
      </mc:Choice>
      <mc:Fallback>
        <control shapeId="1117" r:id="rId7" name="Liste_Divorces_Separes"/>
      </mc:Fallback>
    </mc:AlternateContent>
    <mc:AlternateContent xmlns:mc="http://schemas.openxmlformats.org/markup-compatibility/2006">
      <mc:Choice Requires="x14">
        <control shapeId="1116" r:id="rId9" name="Liste_Situation_Parents">
          <controlPr defaultSize="0" autoLine="0" autoPict="0" linkedCell="$F$29" listFillRange="Parametres!$A$2:$A$7" r:id="rId10">
            <anchor moveWithCells="1">
              <from>
                <xdr:col>5</xdr:col>
                <xdr:colOff>9525</xdr:colOff>
                <xdr:row>28</xdr:row>
                <xdr:rowOff>9525</xdr:rowOff>
              </from>
              <to>
                <xdr:col>5</xdr:col>
                <xdr:colOff>2181225</xdr:colOff>
                <xdr:row>28</xdr:row>
                <xdr:rowOff>1009650</xdr:rowOff>
              </to>
            </anchor>
          </controlPr>
        </control>
      </mc:Choice>
      <mc:Fallback>
        <control shapeId="1116" r:id="rId9" name="Liste_Situation_Parents"/>
      </mc:Fallback>
    </mc:AlternateContent>
    <mc:AlternateContent xmlns:mc="http://schemas.openxmlformats.org/markup-compatibility/2006">
      <mc:Choice Requires="x14">
        <control shapeId="1115" r:id="rId11" name="Liste_Eleve_Seul">
          <controlPr defaultSize="0" autoLine="0" linkedCell="$F$15" listFillRange="Parametres!$E$2:$E$4" r:id="rId12">
            <anchor moveWithCells="1">
              <from>
                <xdr:col>5</xdr:col>
                <xdr:colOff>9525</xdr:colOff>
                <xdr:row>14</xdr:row>
                <xdr:rowOff>9525</xdr:rowOff>
              </from>
              <to>
                <xdr:col>5</xdr:col>
                <xdr:colOff>2190750</xdr:colOff>
                <xdr:row>14</xdr:row>
                <xdr:rowOff>466725</xdr:rowOff>
              </to>
            </anchor>
          </controlPr>
        </control>
      </mc:Choice>
      <mc:Fallback>
        <control shapeId="1115" r:id="rId11" name="Liste_Eleve_Seul"/>
      </mc:Fallback>
    </mc:AlternateContent>
    <mc:AlternateContent xmlns:mc="http://schemas.openxmlformats.org/markup-compatibility/2006">
      <mc:Choice Requires="x14">
        <control shapeId="1114" r:id="rId13" name="Liste_Domicile_Distinct">
          <controlPr defaultSize="0" autoLine="0" autoPict="0" linkedCell="$F$13" listFillRange="Parametres!$E$2:$E$4" r:id="rId12">
            <anchor moveWithCells="1">
              <from>
                <xdr:col>5</xdr:col>
                <xdr:colOff>9525</xdr:colOff>
                <xdr:row>12</xdr:row>
                <xdr:rowOff>9525</xdr:rowOff>
              </from>
              <to>
                <xdr:col>5</xdr:col>
                <xdr:colOff>2200275</xdr:colOff>
                <xdr:row>12</xdr:row>
                <xdr:rowOff>466725</xdr:rowOff>
              </to>
            </anchor>
          </controlPr>
        </control>
      </mc:Choice>
      <mc:Fallback>
        <control shapeId="1114" r:id="rId13" name="Liste_Domicile_Distinct"/>
      </mc:Fallback>
    </mc:AlternateContent>
    <mc:AlternateContent xmlns:mc="http://schemas.openxmlformats.org/markup-compatibility/2006">
      <mc:Choice Requires="x14">
        <control shapeId="1113" r:id="rId14" name="Liste_Avis_Impot_Nom">
          <controlPr defaultSize="0" autoLine="0" autoPict="0" linkedCell="$F$9" listFillRange="Parametres!$E$2:$E$4" r:id="rId15">
            <anchor moveWithCells="1">
              <from>
                <xdr:col>5</xdr:col>
                <xdr:colOff>9525</xdr:colOff>
                <xdr:row>8</xdr:row>
                <xdr:rowOff>9525</xdr:rowOff>
              </from>
              <to>
                <xdr:col>5</xdr:col>
                <xdr:colOff>2200275</xdr:colOff>
                <xdr:row>8</xdr:row>
                <xdr:rowOff>428625</xdr:rowOff>
              </to>
            </anchor>
          </controlPr>
        </control>
      </mc:Choice>
      <mc:Fallback>
        <control shapeId="1113" r:id="rId14" name="Liste_Avis_Impot_Nom"/>
      </mc:Fallback>
    </mc:AlternateContent>
    <mc:AlternateContent xmlns:mc="http://schemas.openxmlformats.org/markup-compatibility/2006">
      <mc:Choice Requires="x14">
        <control shapeId="1102" r:id="rId16" name="Liste_Situation_Familiale">
          <controlPr defaultSize="0" autoLine="0" linkedCell="$C$13" listFillRange="Parametres!$D$2:$H$9" r:id="rId17">
            <anchor moveWithCells="1">
              <from>
                <xdr:col>2</xdr:col>
                <xdr:colOff>9525</xdr:colOff>
                <xdr:row>12</xdr:row>
                <xdr:rowOff>9525</xdr:rowOff>
              </from>
              <to>
                <xdr:col>2</xdr:col>
                <xdr:colOff>2152650</xdr:colOff>
                <xdr:row>12</xdr:row>
                <xdr:rowOff>466725</xdr:rowOff>
              </to>
            </anchor>
          </controlPr>
        </control>
      </mc:Choice>
      <mc:Fallback>
        <control shapeId="1102" r:id="rId16" name="Liste_Situation_Familiale"/>
      </mc:Fallback>
    </mc:AlternateContent>
    <mc:AlternateContent xmlns:mc="http://schemas.openxmlformats.org/markup-compatibility/2006">
      <mc:Choice Requires="x14">
        <control shapeId="1101" r:id="rId18" name="Liste_Distances">
          <controlPr defaultSize="0" autoLine="0" autoPict="0" linkedCell="$F$21" listFillRange="Parametres!$F$2:$F$6" r:id="rId19">
            <anchor moveWithCells="1">
              <from>
                <xdr:col>5</xdr:col>
                <xdr:colOff>9525</xdr:colOff>
                <xdr:row>20</xdr:row>
                <xdr:rowOff>9525</xdr:rowOff>
              </from>
              <to>
                <xdr:col>5</xdr:col>
                <xdr:colOff>2181225</xdr:colOff>
                <xdr:row>20</xdr:row>
                <xdr:rowOff>742950</xdr:rowOff>
              </to>
            </anchor>
          </controlPr>
        </control>
      </mc:Choice>
      <mc:Fallback>
        <control shapeId="1101" r:id="rId18" name="Liste_Distances"/>
      </mc:Fallback>
    </mc:AlternateContent>
    <mc:AlternateContent xmlns:mc="http://schemas.openxmlformats.org/markup-compatibility/2006">
      <mc:Choice Requires="x14">
        <control shapeId="1103" r:id="rId20" name="Liste_Pupille">
          <controlPr defaultSize="0" autoLine="0" autoPict="0" linkedCell="$C$15" listFillRange="Parametres!$E$2:$E$4" r:id="rId17">
            <anchor moveWithCells="1">
              <from>
                <xdr:col>2</xdr:col>
                <xdr:colOff>9525</xdr:colOff>
                <xdr:row>14</xdr:row>
                <xdr:rowOff>9525</xdr:rowOff>
              </from>
              <to>
                <xdr:col>2</xdr:col>
                <xdr:colOff>2143125</xdr:colOff>
                <xdr:row>14</xdr:row>
                <xdr:rowOff>466725</xdr:rowOff>
              </to>
            </anchor>
          </controlPr>
        </control>
      </mc:Choice>
      <mc:Fallback>
        <control shapeId="1103" r:id="rId20" name="Liste_Pupille"/>
      </mc:Fallback>
    </mc:AlternateContent>
    <mc:AlternateContent xmlns:mc="http://schemas.openxmlformats.org/markup-compatibility/2006">
      <mc:Choice Requires="x14">
        <control shapeId="1104" r:id="rId21" name="Liste_Incapacite_1">
          <controlPr defaultSize="0" autoLine="0" autoPict="0" linkedCell="$C$17" listFillRange="Parametres!$E$2:$E$4" r:id="rId22">
            <anchor moveWithCells="1">
              <from>
                <xdr:col>2</xdr:col>
                <xdr:colOff>9525</xdr:colOff>
                <xdr:row>16</xdr:row>
                <xdr:rowOff>9525</xdr:rowOff>
              </from>
              <to>
                <xdr:col>2</xdr:col>
                <xdr:colOff>2143125</xdr:colOff>
                <xdr:row>16</xdr:row>
                <xdr:rowOff>619125</xdr:rowOff>
              </to>
            </anchor>
          </controlPr>
        </control>
      </mc:Choice>
      <mc:Fallback>
        <control shapeId="1104" r:id="rId21" name="Liste_Incapacite_1"/>
      </mc:Fallback>
    </mc:AlternateContent>
    <mc:AlternateContent xmlns:mc="http://schemas.openxmlformats.org/markup-compatibility/2006">
      <mc:Choice Requires="x14">
        <control shapeId="1105" r:id="rId23" name="Liste_Incapacite_2">
          <controlPr defaultSize="0" autoLine="0" autoPict="0" linkedCell="$C$19" listFillRange="Parametres!$E$2:$E$4" r:id="rId24">
            <anchor moveWithCells="1">
              <from>
                <xdr:col>2</xdr:col>
                <xdr:colOff>9525</xdr:colOff>
                <xdr:row>18</xdr:row>
                <xdr:rowOff>9525</xdr:rowOff>
              </from>
              <to>
                <xdr:col>2</xdr:col>
                <xdr:colOff>2143125</xdr:colOff>
                <xdr:row>18</xdr:row>
                <xdr:rowOff>714375</xdr:rowOff>
              </to>
            </anchor>
          </controlPr>
        </control>
      </mc:Choice>
      <mc:Fallback>
        <control shapeId="1105" r:id="rId23" name="Liste_Incapacite_2"/>
      </mc:Fallback>
    </mc:AlternateContent>
    <mc:AlternateContent xmlns:mc="http://schemas.openxmlformats.org/markup-compatibility/2006">
      <mc:Choice Requires="x14">
        <control shapeId="1106" r:id="rId25" name="Liste_Etudiant_Inscrit_PE">
          <controlPr defaultSize="0" autoLine="0" autoPict="0" linkedCell="$C$23" listFillRange="Parametres!$H$2:$H$6" r:id="rId26">
            <anchor moveWithCells="1">
              <from>
                <xdr:col>2</xdr:col>
                <xdr:colOff>9525</xdr:colOff>
                <xdr:row>21</xdr:row>
                <xdr:rowOff>342900</xdr:rowOff>
              </from>
              <to>
                <xdr:col>2</xdr:col>
                <xdr:colOff>2143125</xdr:colOff>
                <xdr:row>22</xdr:row>
                <xdr:rowOff>809625</xdr:rowOff>
              </to>
            </anchor>
          </controlPr>
        </control>
      </mc:Choice>
      <mc:Fallback>
        <control shapeId="1106" r:id="rId25" name="Liste_Etudiant_Inscrit_PE"/>
      </mc:Fallback>
    </mc:AlternateContent>
    <mc:AlternateContent xmlns:mc="http://schemas.openxmlformats.org/markup-compatibility/2006">
      <mc:Choice Requires="x14">
        <control shapeId="1107" r:id="rId27" name="Liste_Activite_Pro">
          <controlPr defaultSize="0" autoLine="0" autoPict="0" linkedCell="$C$25" listFillRange="Parametres!$E$2:$E$4" r:id="rId22">
            <anchor moveWithCells="1">
              <from>
                <xdr:col>2</xdr:col>
                <xdr:colOff>9525</xdr:colOff>
                <xdr:row>24</xdr:row>
                <xdr:rowOff>9525</xdr:rowOff>
              </from>
              <to>
                <xdr:col>2</xdr:col>
                <xdr:colOff>2143125</xdr:colOff>
                <xdr:row>24</xdr:row>
                <xdr:rowOff>619125</xdr:rowOff>
              </to>
            </anchor>
          </controlPr>
        </control>
      </mc:Choice>
      <mc:Fallback>
        <control shapeId="1107" r:id="rId27" name="Liste_Activite_Pro"/>
      </mc:Fallback>
    </mc:AlternateContent>
    <mc:AlternateContent xmlns:mc="http://schemas.openxmlformats.org/markup-compatibility/2006">
      <mc:Choice Requires="x14">
        <control shapeId="1109" r:id="rId28" name="Liste_DE_Indemnise">
          <controlPr defaultSize="0" autoLine="0" linkedCell="$C$31" listFillRange="Parametres!$E$2:$E$4" r:id="rId29">
            <anchor moveWithCells="1">
              <from>
                <xdr:col>2</xdr:col>
                <xdr:colOff>19050</xdr:colOff>
                <xdr:row>30</xdr:row>
                <xdr:rowOff>9525</xdr:rowOff>
              </from>
              <to>
                <xdr:col>2</xdr:col>
                <xdr:colOff>2162175</xdr:colOff>
                <xdr:row>30</xdr:row>
                <xdr:rowOff>676275</xdr:rowOff>
              </to>
            </anchor>
          </controlPr>
        </control>
      </mc:Choice>
      <mc:Fallback>
        <control shapeId="1109" r:id="rId28" name="Liste_DE_Indemnise"/>
      </mc:Fallback>
    </mc:AlternateContent>
    <mc:AlternateContent xmlns:mc="http://schemas.openxmlformats.org/markup-compatibility/2006">
      <mc:Choice Requires="x14">
        <control shapeId="1110" r:id="rId30" name="Liste_Indemnise_Total">
          <controlPr defaultSize="0" autoLine="0" autoPict="0" linkedCell="$C$33" listFillRange="Parametres!$E$2:$E$4" r:id="rId31">
            <anchor moveWithCells="1">
              <from>
                <xdr:col>2</xdr:col>
                <xdr:colOff>19050</xdr:colOff>
                <xdr:row>32</xdr:row>
                <xdr:rowOff>9525</xdr:rowOff>
              </from>
              <to>
                <xdr:col>2</xdr:col>
                <xdr:colOff>2162175</xdr:colOff>
                <xdr:row>32</xdr:row>
                <xdr:rowOff>809625</xdr:rowOff>
              </to>
            </anchor>
          </controlPr>
        </control>
      </mc:Choice>
      <mc:Fallback>
        <control shapeId="1110" r:id="rId30" name="Liste_Indemnise_Total"/>
      </mc:Fallback>
    </mc:AlternateContent>
    <mc:AlternateContent xmlns:mc="http://schemas.openxmlformats.org/markup-compatibility/2006">
      <mc:Choice Requires="x14">
        <control shapeId="1111" r:id="rId32" name="Liste_Exerce_Activite_Pro">
          <controlPr defaultSize="0" autoLine="0" linkedCell="$C$37" listFillRange="Parametres!$E$2:$E$4" r:id="rId33">
            <anchor moveWithCells="1">
              <from>
                <xdr:col>2</xdr:col>
                <xdr:colOff>19050</xdr:colOff>
                <xdr:row>36</xdr:row>
                <xdr:rowOff>9525</xdr:rowOff>
              </from>
              <to>
                <xdr:col>2</xdr:col>
                <xdr:colOff>2162175</xdr:colOff>
                <xdr:row>36</xdr:row>
                <xdr:rowOff>657225</xdr:rowOff>
              </to>
            </anchor>
          </controlPr>
        </control>
      </mc:Choice>
      <mc:Fallback>
        <control shapeId="1111" r:id="rId32" name="Liste_Exerce_Activite_Pro"/>
      </mc:Fallback>
    </mc:AlternateContent>
    <mc:AlternateContent xmlns:mc="http://schemas.openxmlformats.org/markup-compatibility/2006">
      <mc:Choice Requires="x14">
        <control shapeId="1112" r:id="rId34" name="Liste_Autre_Situation">
          <controlPr defaultSize="0" autoLine="0" autoPict="0" linkedCell="$C$41" listFillRange="Parametres!$G$2:$H$9" r:id="rId35">
            <anchor moveWithCells="1">
              <from>
                <xdr:col>2</xdr:col>
                <xdr:colOff>19050</xdr:colOff>
                <xdr:row>40</xdr:row>
                <xdr:rowOff>9525</xdr:rowOff>
              </from>
              <to>
                <xdr:col>2</xdr:col>
                <xdr:colOff>2162175</xdr:colOff>
                <xdr:row>40</xdr:row>
                <xdr:rowOff>781050</xdr:rowOff>
              </to>
            </anchor>
          </controlPr>
        </control>
      </mc:Choice>
      <mc:Fallback>
        <control shapeId="1112" r:id="rId34" name="Liste_Autre_Situation"/>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2D0B2-2E09-4597-A7A4-486FDAAD9CFE}">
  <sheetPr codeName="Feuil4"/>
  <dimension ref="A1:C17"/>
  <sheetViews>
    <sheetView workbookViewId="0">
      <selection activeCell="A14" sqref="A14"/>
    </sheetView>
  </sheetViews>
  <sheetFormatPr baseColWidth="10" defaultRowHeight="15" x14ac:dyDescent="0.25"/>
  <cols>
    <col min="1" max="1" width="66.42578125" customWidth="1"/>
    <col min="2" max="2" width="7.42578125" customWidth="1"/>
  </cols>
  <sheetData>
    <row r="1" spans="1:3" ht="15.75" x14ac:dyDescent="0.25">
      <c r="A1" s="107" t="s">
        <v>35</v>
      </c>
      <c r="B1" s="107"/>
      <c r="C1" s="107"/>
    </row>
    <row r="2" spans="1:3" ht="15.75" x14ac:dyDescent="0.25">
      <c r="A2" s="39" t="s">
        <v>91</v>
      </c>
      <c r="B2" s="39" t="s">
        <v>93</v>
      </c>
      <c r="C2" s="39" t="s">
        <v>92</v>
      </c>
    </row>
    <row r="3" spans="1:3" ht="15.75" x14ac:dyDescent="0.25">
      <c r="A3" s="16" t="s">
        <v>36</v>
      </c>
      <c r="B3" s="25">
        <v>1</v>
      </c>
      <c r="C3" s="24">
        <f>IF(Formulaire!C15="Oui",B3,0)</f>
        <v>0</v>
      </c>
    </row>
    <row r="4" spans="1:3" ht="15.75" x14ac:dyDescent="0.25">
      <c r="A4" s="16" t="s">
        <v>97</v>
      </c>
      <c r="B4" s="25">
        <v>4</v>
      </c>
      <c r="C4" s="24">
        <f>IF(Formulaire!C17="Oui",B4,0)</f>
        <v>0</v>
      </c>
    </row>
    <row r="5" spans="1:3" ht="15.75" x14ac:dyDescent="0.25">
      <c r="A5" s="16" t="s">
        <v>96</v>
      </c>
      <c r="B5" s="25">
        <v>4</v>
      </c>
      <c r="C5" s="24">
        <f>IF(Formulaire!C19="Oui",B5,0)</f>
        <v>0</v>
      </c>
    </row>
    <row r="6" spans="1:3" ht="15.75" x14ac:dyDescent="0.25">
      <c r="A6" s="16" t="s">
        <v>37</v>
      </c>
      <c r="B6" s="25">
        <v>2</v>
      </c>
      <c r="C6" s="24">
        <f>IF(Formulaire!F21="Entre 30 et 249 km",B6,0)</f>
        <v>0</v>
      </c>
    </row>
    <row r="7" spans="1:3" ht="15.75" x14ac:dyDescent="0.25">
      <c r="A7" s="16" t="s">
        <v>38</v>
      </c>
      <c r="B7" s="25">
        <v>3</v>
      </c>
      <c r="C7" s="24">
        <f>IF(Formulaire!F21="Entre 250 et 12 999 km",B7,0)</f>
        <v>0</v>
      </c>
    </row>
    <row r="8" spans="1:3" ht="15.75" x14ac:dyDescent="0.25">
      <c r="A8" s="16" t="s">
        <v>39</v>
      </c>
      <c r="B8" s="25">
        <v>4</v>
      </c>
      <c r="C8" s="24">
        <f>IF(Formulaire!F21="Plus de 13 000 km",B8,0)</f>
        <v>0</v>
      </c>
    </row>
    <row r="9" spans="1:3" ht="15.75" x14ac:dyDescent="0.25">
      <c r="A9" s="16" t="s">
        <v>40</v>
      </c>
      <c r="B9" s="25">
        <v>1</v>
      </c>
      <c r="C9" s="24">
        <f>IF(OR(Formulaire!C13="Marié(e)",Formulaire!C13="Pacsé(e)"),B9,0)</f>
        <v>0</v>
      </c>
    </row>
    <row r="10" spans="1:3" ht="15.75" x14ac:dyDescent="0.25">
      <c r="A10" s="16" t="s">
        <v>41</v>
      </c>
      <c r="B10" s="25">
        <v>2</v>
      </c>
      <c r="C10" s="24">
        <f>IF(Formulaire!F7&gt;=1,B10*Formulaire!F7,0)</f>
        <v>0</v>
      </c>
    </row>
    <row r="11" spans="1:3" ht="15.75" x14ac:dyDescent="0.25">
      <c r="A11" s="25" t="s">
        <v>53</v>
      </c>
      <c r="B11" s="25">
        <v>1</v>
      </c>
      <c r="C11" s="25">
        <f>IF(AND(Formulaire!F7&gt;=1,Formulaire!F15="Oui"),B11,0)</f>
        <v>0</v>
      </c>
    </row>
    <row r="12" spans="1:3" ht="18" customHeight="1" x14ac:dyDescent="0.25">
      <c r="A12" s="16" t="s">
        <v>42</v>
      </c>
      <c r="B12" s="25">
        <v>4</v>
      </c>
      <c r="C12" s="24">
        <f>IF(Formulaire!F35&gt;=1,B12*Formulaire!F35,0)</f>
        <v>0</v>
      </c>
    </row>
    <row r="13" spans="1:3" ht="15.75" x14ac:dyDescent="0.25">
      <c r="A13" s="16" t="s">
        <v>43</v>
      </c>
      <c r="B13" s="25">
        <v>2</v>
      </c>
      <c r="C13" s="24">
        <f>IF(Formulaire!F37&gt;=1,B13*Formulaire!F37,0)</f>
        <v>0</v>
      </c>
    </row>
    <row r="14" spans="1:3" ht="15.75" x14ac:dyDescent="0.25">
      <c r="A14" s="16" t="s">
        <v>44</v>
      </c>
      <c r="B14" s="25">
        <v>1</v>
      </c>
      <c r="C14" s="24">
        <f>IF(OR(Formulaire!F31="Votre père ou votre mère vous élève seul (lettre T sur l'avis d'imposition)",Formulaire!F33="Votre parent vous élève seul (lettre V sur l'avis d'imposition)"),B14,0)</f>
        <v>0</v>
      </c>
    </row>
    <row r="15" spans="1:3" ht="15.75" x14ac:dyDescent="0.25">
      <c r="A15" s="16"/>
      <c r="B15" s="25"/>
      <c r="C15" s="24"/>
    </row>
    <row r="16" spans="1:3" ht="15.75" x14ac:dyDescent="0.25">
      <c r="A16" s="22"/>
      <c r="B16" s="25"/>
      <c r="C16" s="24"/>
    </row>
    <row r="17" spans="1:3" ht="15.75" x14ac:dyDescent="0.25">
      <c r="A17" s="26" t="s">
        <v>45</v>
      </c>
      <c r="B17" s="25"/>
      <c r="C17" s="27">
        <f>SUM(C3:C16)</f>
        <v>0</v>
      </c>
    </row>
  </sheetData>
  <sheetProtection algorithmName="SHA-512" hashValue="l4tAPVh2tR/3MTOZ9IlEMOAcp+VaX3RLdgD7UlzAezDfXUXlgxVxPF5bkMtyzTEe2FBrZBbPgcdlePhMbm1diA==" saltValue="a1s3FI8RRDroC21xgZdTKg==" spinCount="100000" sheet="1" objects="1" scenarios="1"/>
  <mergeCells count="1">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F77D6-CEFB-4D23-AB04-B55199034C0A}">
  <sheetPr codeName="Feuil3"/>
  <dimension ref="A1:L22"/>
  <sheetViews>
    <sheetView workbookViewId="0">
      <selection activeCell="I22" sqref="I22"/>
    </sheetView>
  </sheetViews>
  <sheetFormatPr baseColWidth="10" defaultRowHeight="15" x14ac:dyDescent="0.25"/>
  <cols>
    <col min="11" max="11" width="36.42578125" customWidth="1"/>
    <col min="12" max="12" width="32.140625" customWidth="1"/>
  </cols>
  <sheetData>
    <row r="1" spans="1:12" ht="47.25" x14ac:dyDescent="0.25">
      <c r="A1" s="19" t="s">
        <v>10</v>
      </c>
      <c r="B1" s="19" t="s">
        <v>11</v>
      </c>
      <c r="C1" s="19" t="s">
        <v>12</v>
      </c>
      <c r="D1" s="19" t="s">
        <v>13</v>
      </c>
      <c r="E1" s="19" t="s">
        <v>14</v>
      </c>
      <c r="F1" s="19" t="s">
        <v>15</v>
      </c>
      <c r="G1" s="19" t="s">
        <v>16</v>
      </c>
      <c r="H1" s="19" t="s">
        <v>17</v>
      </c>
      <c r="I1" s="19" t="s">
        <v>18</v>
      </c>
      <c r="K1" s="108" t="s">
        <v>48</v>
      </c>
      <c r="L1" s="109"/>
    </row>
    <row r="2" spans="1:12" ht="18" x14ac:dyDescent="0.25">
      <c r="A2" s="20">
        <v>0</v>
      </c>
      <c r="B2" s="21">
        <v>35086</v>
      </c>
      <c r="C2" s="21">
        <v>23850</v>
      </c>
      <c r="D2" s="21">
        <v>19281</v>
      </c>
      <c r="E2" s="21">
        <v>17034</v>
      </c>
      <c r="F2" s="21">
        <v>14829</v>
      </c>
      <c r="G2" s="21">
        <v>12667</v>
      </c>
      <c r="H2" s="21">
        <v>7992</v>
      </c>
      <c r="I2" s="21">
        <v>265</v>
      </c>
      <c r="K2" s="22" t="s">
        <v>54</v>
      </c>
      <c r="L2" s="22" t="str">
        <f>IF(AND(Points_charge!$C$17=Baremes!$A2,Baremes!$C2&lt;=Formulaire!$F$23,Formulaire!$F$23&lt;=Baremes!$B2),"Echelon 0 bis",(IF(AND(Points_charge!$C$17=Baremes!$A2,Baremes!$C2&gt;=Formulaire!$F$23,Formulaire!$F$23&gt;=Baremes!$D2),"Echelon 1",(IF(AND(Points_charge!$C$17=Baremes!$A2,Baremes!$D2&gt;=Formulaire!$F$23,Formulaire!$F$23&gt;=Baremes!$E2),"Echelon 2",IF(AND(Points_charge!$C$17=Baremes!$A2,Baremes!$E2&gt;=Formulaire!$F$23,Formulaire!$F$23&gt;=Baremes!$F2),"Echelon 3",IF(AND(Points_charge!$C$17=Baremes!$A2,Baremes!F2&gt;=Formulaire!$F$23,Formulaire!$F$23&gt;=Baremes!G2),"Echelon 4",IF(AND(Points_charge!$C$17=Baremes!$A2,Baremes!G2&gt;=Formulaire!$F$23,Formulaire!$F$23&gt;=Baremes!H2),"Echelon 5",IF(AND(Points_charge!$C$17=Baremes!$A2,Baremes!H2&gt;=Formulaire!$F$23,Formulaire!$F$23&gt;Baremes!I2),"Echelon 6",IF(AND(Points_charge!$C$17=Baremes!$A2,Baremes!I2&gt;=Formulaire!$F$23,Formulaire!$F$23&gt;0),"Echelon 7",IF(AND(Points_charge!$C$17=Baremes!$A3,Baremes!$C3&lt;=Formulaire!$F$23,Formulaire!$F$23&lt;=Baremes!$B3),"Echelon 0 bis",(IF(AND(Points_charge!$C$17=Baremes!$A3,Baremes!$C3&gt;Formulaire!$F$23,Formulaire!$F$23&gt;Baremes!$D3),"Echelon 1",(IF(AND(Points_charge!$C$17=Baremes!$A3,Baremes!$D3&gt;Formulaire!$F$23,Formulaire!$F$23&gt;Baremes!$E3),"Echelon 2",IF(AND(Points_charge!$C$17=Baremes!$A3,Baremes!$E3&gt;Formulaire!$F$23,Formulaire!$F$23&gt;Baremes!$F3),"Echelon 3",IF(AND(Points_charge!$C$17=Baremes!$A3,Baremes!F3&gt;Formulaire!$F$23,Formulaire!$F$23&gt;Baremes!G3),"Echelon 4",IF(AND(Points_charge!$C$17=Baremes!$A3,Baremes!G3&gt;Formulaire!$F$23,Formulaire!$F$23&gt;=Baremes!H3),"Echelon 5",IF(AND(Points_charge!$C$17=Baremes!$A3,Baremes!H3&gt;=Formulaire!$F$23,Formulaire!$F$23&gt;=Baremes!I3),"Echelon 6",IF(AND(Points_charge!$C$17=Baremes!$A3,Baremes!I3&gt;=Formulaire!$F$23,Formulaire!$F$23&gt;0),"Echelon 7",IF(AND(Points_charge!$C$17=Baremes!$A4,Baremes!$C4&lt;=Formulaire!$F$23,Formulaire!$F$23&lt;=Baremes!$B4),"Echelon 0 bis",(IF(AND(Points_charge!$C$17=Baremes!$A4,Baremes!$C4&gt;=Formulaire!$F$23,Formulaire!$F$23&gt;=Baremes!$D4),"Echelon 1",(IF(AND(Points_charge!$C$17=Baremes!$A4,Baremes!$D4&gt;=Formulaire!$F$23,Formulaire!$F$23&gt;=Baremes!$E4),"Echelon 2",IF(AND(Points_charge!$C$17=Baremes!$A4,Baremes!$E4&gt;=Formulaire!$F$23,Formulaire!$F$23&gt;=Baremes!$F4),"Echelon 3",IF(AND(Points_charge!$C$17=Baremes!$A4,Baremes!F4&gt;=Formulaire!$F$23,Formulaire!$F$23&gt;=Baremes!G4),"Echelon 4",IF(AND(Points_charge!$C$17=Baremes!$A4,Baremes!G4&gt;=Formulaire!$F$23,Formulaire!$F$23&gt;=Baremes!H4),"Echelon 5",IF(AND(Points_charge!$C$17=Baremes!$A4,Baremes!H4&gt;=Formulaire!$F$23,Formulaire!$F$23&gt;Baremes!I4),"Echelon 6",IF(AND(Points_charge!$C$17=Baremes!$A4,Baremes!I4&gt;Formulaire!$F$23,Formulaire!$F$23&gt;0),"Echelon 7",IF(AND(Points_charge!$C$17=Baremes!$A5,Baremes!$C5&lt;Formulaire!$F$23,Formulaire!$F$23&lt;Baremes!$B5),"Echelon 0 bis",(IF(AND(Points_charge!$C$17=Baremes!$A5,Baremes!$C5&gt;Formulaire!$F$23,Formulaire!$F$23&gt;Baremes!$D5),"Echelon 1",(IF(AND(Points_charge!$C$17=Baremes!$A5,Baremes!$D5&gt;Formulaire!$F$23,Formulaire!$F$23&gt;Baremes!$E5),"Echelon 2",IF(AND(Points_charge!$C$17=Baremes!$A5,Baremes!$E5&gt;=Formulaire!$F$23,Formulaire!$F$23&gt;=Baremes!$F5),"Echelon 3",IF(AND(Points_charge!$C$17=Baremes!$A5,Baremes!F5&gt;=Formulaire!$F$23,Formulaire!$F$23&gt;=Baremes!G5),"Echelon 4",IF(AND(Points_charge!$C$17=Baremes!$A5,Baremes!G5&gt;=Formulaire!$F$23,Formulaire!$F$23&gt;=Baremes!H5),"Echelon 5",IF(AND(Points_charge!$C$17=Baremes!$A5,Baremes!H5&gt;=Formulaire!$F$23,Formulaire!$F$23&gt;=Baremes!I5),"Echelon 6",IF(AND(Points_charge!$C$17=Baremes!$A5,Baremes!I5&gt;=Formulaire!$F$23,Formulaire!$F$23&gt;0),"Echelon 7",IF(AND(Points_charge!$C$17=Baremes!$A6,Baremes!$C6&lt;=Formulaire!$F$23,Formulaire!$F$23&lt;=Baremes!$B6),"Echelon 0 bis",(IF(AND(Points_charge!$C$17=Baremes!$A6,Baremes!$C6&gt;=Formulaire!$F$23,Formulaire!$F$23&gt;=Baremes!$D6),"Echelon 1",(IF(AND(Points_charge!$C$17=Baremes!$A6,Baremes!$D6&gt;=Formulaire!$F$23,Formulaire!$F$23&gt;=Baremes!$E6),"Echelon 2",IF(AND(Points_charge!$C$17=Baremes!$A6,Baremes!$E6&gt;=Formulaire!$F$23,Formulaire!$F$23&gt;=Baremes!$F6),"Echelon 3",IF(AND(Points_charge!$C$17=Baremes!$A6,Baremes!F6&gt;=Formulaire!$F$23,Formulaire!$F$23&gt;=Baremes!G6),"Echelon 4",IF(AND(Points_charge!$C$17=Baremes!$A6,Baremes!G6&gt;=Formulaire!$F$23,Formulaire!$F$23&gt;=Baremes!H6),"Echelon 5",IF(AND(Points_charge!$C$17=Baremes!$A6,Baremes!H6&gt;=Formulaire!$F$23,Formulaire!$F$23&gt;=Baremes!I6),"Echelon 6",IF(AND(Points_charge!$C$17=Baremes!$A6,Baremes!I6&gt;=Formulaire!$F$23,Formulaire!$F$23&gt;0),"Echelon 7",IF(AND(Points_charge!$C$17=Baremes!$A7,Baremes!$C7&lt;=Formulaire!$F$23,Formulaire!$F$23&lt;=Baremes!$B7),"Echelon 0 bis",(IF(AND(Points_charge!$C$17=Baremes!$A7,Baremes!$C7&gt;=Formulaire!$F$23,Formulaire!$F$23&gt;=Baremes!$D7),"Echelon 1",(IF(AND(Points_charge!$C$17=Baremes!$A7,Baremes!$D7&gt;=Formulaire!$F$23,Formulaire!$F$23&gt;=Baremes!$E7),"Echelon 2",IF(AND(Points_charge!$C$17=Baremes!$A7,Baremes!$E7&gt;=Formulaire!$F$23,Formulaire!$F$23&gt;=Baremes!$F7),"Echelon 3",IF(AND(Points_charge!$C$17=Baremes!$A7,Baremes!F7&gt;=Formulaire!$F$23,Formulaire!$F$23&gt;=Baremes!G7),"Echelon 4",IF(AND(Points_charge!$C$17=Baremes!$A7,Baremes!G7&gt;=Formulaire!$F$23,Formulaire!$F$23&gt;=Baremes!H7),"Echelon 5",IF(AND(Points_charge!$C$17=Baremes!$A7,Baremes!H7&gt;=Formulaire!$F$23,Formulaire!$F$23&gt;=Baremes!I7),"Echelon 6",IF(AND(Points_charge!$C$17=Baremes!$A7,Baremes!I7&gt;=Formulaire!$F$23,Formulaire!$F$23&gt;0),"Echelon 7",IF(AND(Points_charge!$C$17=Baremes!$A8,Baremes!$C8&lt;=Formulaire!$F$23,Formulaire!$F$23&lt;=Baremes!$B8),"Echelon 0 bis",(IF(AND(Points_charge!$C$17=Baremes!$A8,Baremes!$C8&gt;=Formulaire!$F$23,Formulaire!$F$23&gt;=Baremes!$D8),"Echelon 1",(IF(AND(Points_charge!$C$17=Baremes!$A8,Baremes!$D8&gt;=Formulaire!$F$23,Formulaire!$F$23&gt;=Baremes!$E8),"Echelon 2",IF(AND(Points_charge!$C$17=Baremes!$A8,Baremes!$E8&gt;=Formulaire!$F$23,Formulaire!$F$23&gt;=Baremes!$F8),"Echelon 3",IF(AND(Points_charge!$C$17=Baremes!$A8,Baremes!F8&gt;=Formulaire!$F$23,Formulaire!$F$23&gt;=Baremes!G8),"Echelon 4",IF(AND(Points_charge!$C$17=Baremes!$A8,Baremes!G8&gt;=Formulaire!$F$23,Formulaire!$F$23&gt;=Baremes!H8),"Echelon 5",IF(AND(Points_charge!$C$17=Baremes!$A8,Baremes!H8&gt;=Formulaire!$F$23,Formulaire!$F$23&gt;=Baremes!I8),"Echelon 6",IF(AND(Points_charge!$C$17=Baremes!$A8,Baremes!I8&gt;=Formulaire!$F$23,Formulaire!$F$23&gt;0),"Echelon 7",IF(AND(Points_charge!$C$17=Baremes!$A9,Baremes!$C9&lt;=Formulaire!$F$23,Formulaire!$F$23&lt;=Baremes!$B9),"Echelon 0 bis",(IF(AND(Points_charge!$C$17=Baremes!$A9,Baremes!$C9&gt;=Formulaire!$F$23,Formulaire!$F$23&gt;Baremes!$D9),"Echelon 1",(IF(AND(Points_charge!$C$17=Baremes!$A9,Baremes!$D9&gt;=Formulaire!$F$23,Formulaire!$F$23&gt;=Baremes!$E9),"Echelon 2",IF(AND(Points_charge!$C$17=Baremes!$A9,Baremes!$E9&gt;=Formulaire!$F$23,Formulaire!$F$23&gt;=Baremes!$F9),"Echelon 3",IF(AND(Points_charge!$C$17=Baremes!$A9,Baremes!F9&gt;=Formulaire!$F$23,Formulaire!$F$23&gt;=Baremes!G9),"Echelon 4",IF(AND(Points_charge!$C$17=Baremes!$A9,Baremes!G9&gt;=Formulaire!$F$23,Formulaire!$F$23&gt;=Baremes!H9),"Echelon 5",IF(AND(Points_charge!$C$17=Baremes!$A9,Baremes!H9=Formulaire!$F$23,Formulaire!$F$23&gt;=Baremes!I9),"Echelon 6",IF(AND(Points_charge!$C$17=Baremes!$A9,Baremes!I9&gt;=Formulaire!$F$23,Formulaire!$F$23&gt;0),"Echelon 7","Pas dans ce cas"))))))))))))))))))))))))))))))))))))))))))))))))))))))))))))))))))))))))))))))))</f>
        <v>Pas dans ce cas</v>
      </c>
    </row>
    <row r="3" spans="1:12" ht="18" x14ac:dyDescent="0.25">
      <c r="A3" s="20">
        <v>1</v>
      </c>
      <c r="B3" s="21">
        <v>38966</v>
      </c>
      <c r="C3" s="21">
        <v>26500</v>
      </c>
      <c r="D3" s="21">
        <v>21423</v>
      </c>
      <c r="E3" s="21">
        <v>18921</v>
      </c>
      <c r="F3" s="21">
        <v>16472</v>
      </c>
      <c r="G3" s="21">
        <v>14077</v>
      </c>
      <c r="H3" s="21">
        <v>8872</v>
      </c>
      <c r="I3" s="21">
        <v>530</v>
      </c>
      <c r="K3" s="22" t="s">
        <v>55</v>
      </c>
      <c r="L3" s="22" t="str">
        <f>IF(AND(Points_charge!$C$17=Baremes!$A10,Baremes!$C10&lt;=Formulaire!$F$23,Formulaire!$F$23&lt;=Baremes!$B10),"Echelon 0 bis",(IF(AND(Points_charge!$C$17=Baremes!$A10,Baremes!$C10&gt;=Formulaire!$F$23,Formulaire!$F$23&gt;=Baremes!$D10),"Echelon 1",(IF(AND(Points_charge!$C$17=Baremes!$A10,Baremes!$D10&gt;=Formulaire!$F$23,Formulaire!$F$23&gt;=Baremes!$E10),"Echelon 2",IF(AND(Points_charge!$C$17=Baremes!$A10,Baremes!$E10&gt;=Formulaire!$F$23,Formulaire!$F$23&gt;=Baremes!$F10),"Echelon 3",IF(AND(Points_charge!$C$17=Baremes!$A10,Baremes!F10&gt;=Formulaire!$F$23,Formulaire!$F$23&gt;=Baremes!G10),"Echelon 4",IF(AND(Points_charge!$C$17=Baremes!$A10,Baremes!G10&gt;=Formulaire!$F$23,Formulaire!$F$23&gt;=Baremes!H10),"Echelon 5",IF(AND(Points_charge!$C$17=Baremes!$A10,Baremes!H10&gt;=Formulaire!$F$23,Formulaire!$F$23&gt;=Baremes!I10),"Echelon 6",IF(AND(Points_charge!$C$17=Baremes!$A10,Baremes!I10&gt;=Formulaire!$F$23,Formulaire!$F$23&gt;0),"Echelon 7",IF(AND(Points_charge!$C$17=Baremes!$A11,Baremes!$C11&lt;=Formulaire!$F$23,Formulaire!$F$23&lt;=Baremes!$B11),"Echelon 0 bis",(IF(AND(Points_charge!$C$17=Baremes!$A11,Baremes!$C11&gt;=Formulaire!$F$23,Formulaire!$F$23&gt;=Baremes!$D11),"Echelon 1",(IF(AND(Points_charge!$C$17=Baremes!$A11,Baremes!$D11&gt;=Formulaire!$F$23,Formulaire!$F$23&gt;=Baremes!$E11),"Echelon 2",IF(AND(Points_charge!$C$17=Baremes!$A11,Baremes!$E11&gt;=Formulaire!$F$23,Formulaire!$F$23&gt;=Baremes!$F11),"Echelon 3",IF(AND(Points_charge!$C$17=Baremes!$A11,Baremes!F11&gt;=Formulaire!$F$23,Formulaire!$F$23&gt;=Baremes!G11),"Echelon 4",IF(AND(Points_charge!$C$17=Baremes!$A11,Baremes!G11&gt;=Formulaire!$F$23,Formulaire!$F$23&gt;=Baremes!H11),"Echelon 5",IF(AND(Points_charge!$C$17=Baremes!$A11,Baremes!H11&gt;=Formulaire!$F$23,Formulaire!$F$23&gt;=Baremes!I11),"Echelon 6",IF(AND(Points_charge!$C$17=Baremes!$A11,Baremes!I11&gt;=Formulaire!$F$23,Formulaire!$F$23&gt;0),"Echelon 7",IF(AND(Points_charge!$C$17=Baremes!$A12,Baremes!$C12&lt;=Formulaire!$F$23,Formulaire!$F$23&lt;=Baremes!$B12),"Echelon 0 bis",(IF(AND(Points_charge!$C$17=Baremes!$A12,Baremes!$C12&gt;=Formulaire!$F$23,Formulaire!$F$23&gt;=Baremes!$D12),"Echelon 1",(IF(AND(Points_charge!$C$17=Baremes!$A12,Baremes!$D12&gt;=Formulaire!$F$23,Formulaire!$F$23&gt;=Baremes!$E12),"Echelon 2",IF(AND(Points_charge!$C$17=Baremes!$A12,Baremes!$E12&gt;=Formulaire!$F$23,Formulaire!$F$23&gt;=Baremes!$F12),"Echelon 3",IF(AND(Points_charge!$C$17=Baremes!$A12,Baremes!F12&gt;=Formulaire!$F$23,Formulaire!$F$23&gt;=Baremes!G12),"Echelon 4",IF(AND(Points_charge!$C$17=Baremes!$A12,Baremes!G12&gt;=Formulaire!$F$23,Formulaire!$F$23&gt;=Baremes!H12),"Echelon 5",IF(AND(Points_charge!$C$17=Baremes!$A12,Baremes!H12&gt;=Formulaire!$F$23,Formulaire!$F$23&gt;=Baremes!I12),"Echelon 6",IF(AND(Points_charge!$C$17=Baremes!$A12,Baremes!I12&gt;=Formulaire!$F$23,Formulaire!$F$23&gt;0),"Echelon 7",IF(AND(Points_charge!$C$17=Baremes!$A13,Baremes!$C13&lt;=Formulaire!$F$23,Formulaire!$F$23&lt;=Baremes!$B13),"Echelon 0 bis",(IF(AND(Points_charge!$C$17=Baremes!$A13,Baremes!$C13&gt;=Formulaire!$F$23,Formulaire!$F$23&gt;=Baremes!$D13),"Echelon 1",(IF(AND(Points_charge!$C$17=Baremes!$A13,Baremes!$D13&gt;=Formulaire!$F$23,Formulaire!$F$23&gt;=Baremes!$E13),"Echelon 2",IF(AND(Points_charge!$C$17=Baremes!$A13,Baremes!$E13&gt;=Formulaire!$F$23,Formulaire!$F$23&gt;=Baremes!$F13),"Echelon 3",IF(AND(Points_charge!$C$17=Baremes!$A13,Baremes!F13&gt;=Formulaire!$F$23,Formulaire!$F$23&gt;=Baremes!G13),"Echelon 4",IF(AND(Points_charge!$C$17=Baremes!$A13,Baremes!G13&gt;=Formulaire!$F$23,Formulaire!$F$23&gt;=Baremes!H13),"Echelon 5",IF(AND(Points_charge!$C$17=Baremes!$A13,Baremes!H13&gt;=Formulaire!$F$23,Formulaire!$F$23&gt;=Baremes!I13),"Echelon 6",IF(AND(Points_charge!$C$17=Baremes!$A13,Baremes!I13&gt;=Formulaire!$F$23,Formulaire!$F$23&gt;0),"Echelon 7",IF(AND(Points_charge!$C$17=Baremes!$A14,Baremes!$C14&lt;=Formulaire!$F$23,Formulaire!$F$23&lt;=Baremes!$B14),"Echelon 0 bis",(IF(AND(Points_charge!$C$17=Baremes!$A14,Baremes!$C14&gt;=Formulaire!$F$23,Formulaire!$F$23&gt;=Baremes!$D14),"Echelon 1",(IF(AND(Points_charge!$C$17=Baremes!$A14,Baremes!$D14&gt;=Formulaire!$F$23,Formulaire!$F$23&gt;=Baremes!$E14),"Echelon 2",IF(AND(Points_charge!$C$17=Baremes!$A14,Baremes!$E14&gt;=Formulaire!$F$23,Formulaire!$F$23&gt;=Baremes!$F14),"Echelon 3",IF(AND(Points_charge!$C$17=Baremes!$A14,Baremes!F14&gt;=Formulaire!$F$23,Formulaire!$F$23&gt;=Baremes!G14),"Echelon 4",IF(AND(Points_charge!$C$17=Baremes!$A14,Baremes!G14&gt;=Formulaire!$F$23,Formulaire!$F$23&gt;=Baremes!H14),"Echelon 5",IF(AND(Points_charge!$C$17=Baremes!$A14,Baremes!H14&gt;=Formulaire!$F$23,Formulaire!$F$23&gt;=Baremes!I14),"Echelon 6",IF(AND(Points_charge!$C$17=Baremes!$A14,Baremes!I14&gt;=Formulaire!$F$23,Formulaire!$F$23&gt;0),"Echelon 7",IF(AND(Points_charge!$C$17=Baremes!$A15,Baremes!$C15&lt;=Formulaire!$F$23,Formulaire!$F$23&lt;=Baremes!$B15),"Echelon 0 bis",(IF(AND(Points_charge!$C$17=Baremes!$A15,Baremes!$C15&gt;=Formulaire!$F$23,Formulaire!$F$23&gt;=Baremes!$D15),"Echelon 1",(IF(AND(Points_charge!$C$17=Baremes!$A15,Baremes!$D15&gt;=Formulaire!$F$23,Formulaire!$F$23&gt;=Baremes!$E15),"Echelon 2",IF(AND(Points_charge!$C$17=Baremes!$A15,Baremes!$E15&gt;=Formulaire!$F$23,Formulaire!$F$23&gt;=Baremes!$F15),"Echelon 3",IF(AND(Points_charge!$C$17=Baremes!$A15,Baremes!F15&gt;=Formulaire!$F$23,Formulaire!$F$23&gt;=Baremes!G15),"Echelon 4",IF(AND(Points_charge!$C$17=Baremes!$A15,Baremes!G15&gt;=Formulaire!$F$23,Formulaire!$F$23&gt;=Baremes!H15),"Echelon 5",IF(AND(Points_charge!$C$17=Baremes!$A15,Baremes!H15&gt;=Formulaire!$F$23,Formulaire!$F$23&gt;=Baremes!I15),"Echelon 6",IF(AND(Points_charge!$C$17=Baremes!$A15,Baremes!I15&gt;=Formulaire!$F$23,Formulaire!$F$23&gt;0),"Echelon 7",IF(AND(Points_charge!$C$17=Baremes!$A16,Baremes!$C16&lt;=Formulaire!$F$23,Formulaire!$F$23&lt;=Baremes!$B16),"Echelon 0 bis",(IF(AND(Points_charge!$C$17=Baremes!$A16,Baremes!$C16&gt;=Formulaire!$F$23,Formulaire!$F$23&gt;=Baremes!$D16),"Echelon 1",(IF(AND(Points_charge!$C$17=Baremes!$A16,Baremes!$D16&gt;=Formulaire!$F$23,Formulaire!$F$23&gt;=Baremes!$E16),"Echelon 2",IF(AND(Points_charge!$C$17=Baremes!$A16,Baremes!$E16&gt;=Formulaire!$F$23,Formulaire!$F$23&gt;=Baremes!$F16),"Echelon 3",IF(AND(Points_charge!$C$17=Baremes!$A16,Baremes!F16&gt;=Formulaire!$F$23,Formulaire!$F$23&gt;Baremes!G16),"Echelon 4",IF(AND(Points_charge!$C$17=Baremes!$A16,Baremes!G16&gt;=Formulaire!$F$23,Formulaire!$F$23&gt;=Baremes!H16),"Echelon 5",IF(AND(Points_charge!$C$17=Baremes!$A16,Baremes!H16&gt;=Formulaire!$F$23,Formulaire!$F$23&gt;=Baremes!I16),"Echelon 6",IF(AND(Points_charge!$C$17=Baremes!$A16,Baremes!I16&gt;=Formulaire!$F$23,Formulaire!$F$23&gt;0),"Echelon 7","Pas dans ce cas"))))))))))))))))))))))))))))))))))))))))))))))))))))))))))))))))))))))</f>
        <v>Pas dans ce cas</v>
      </c>
    </row>
    <row r="4" spans="1:12" ht="18" x14ac:dyDescent="0.25">
      <c r="A4" s="20">
        <v>2</v>
      </c>
      <c r="B4" s="21">
        <v>42877</v>
      </c>
      <c r="C4" s="21">
        <v>29150</v>
      </c>
      <c r="D4" s="21">
        <v>23564</v>
      </c>
      <c r="E4" s="21">
        <v>20818</v>
      </c>
      <c r="F4" s="21">
        <v>18126</v>
      </c>
      <c r="G4" s="21">
        <v>15476</v>
      </c>
      <c r="H4" s="21">
        <v>9773</v>
      </c>
      <c r="I4" s="21">
        <v>795</v>
      </c>
      <c r="K4" s="22" t="s">
        <v>56</v>
      </c>
      <c r="L4" s="22" t="str">
        <f>IF(AND(Points_charge!$C$17=Baremes!$A17,Baremes!$C17&lt;=Formulaire!$F$23,Formulaire!$F$23&lt;=Baremes!$B17),"Echelon 0 bis",(IF(AND(Points_charge!$C$17=Baremes!$A17,Baremes!$C17&gt;=Formulaire!$F$23,Formulaire!$F$23&gt;=Baremes!$D17),"Echelon 1",(IF(AND(Points_charge!$C$17=Baremes!$A17,Baremes!$D17&gt;=Formulaire!$F$23,Formulaire!$F$23&gt;=Baremes!$E17),"Echelon 2",IF(AND(Points_charge!$C$17=Baremes!$A17,Baremes!$E17&gt;=Formulaire!$F$23,Formulaire!$F$23&gt;=Baremes!$F17),"Echelon 3",IF(AND(Points_charge!$C$17=Baremes!$A17,Baremes!F17&gt;=Formulaire!$F$23,Formulaire!$F$23&gt;=Baremes!G17),"Echelon 4",IF(AND(Points_charge!$C$17=Baremes!$A17,Baremes!G17&gt;=Formulaire!F$23,Formulaire!$F$23&gt;=Baremes!H17),"Echelon 5",IF(AND(Points_charge!$C$17=Baremes!$A17,Baremes!H17&gt;=Formulaire!$F$23,Formulaire!$F$23&gt;=Baremes!I17),"Echelon 6",IF(AND(Points_charge!$C$17=Baremes!$A17,Baremes!I17&gt;=Formulaire!$F$23,Formulaire!$F$23&gt;0),"Echelon 7",IF(AND(Points_charge!$C$17=Baremes!$A18,Baremes!$C18&lt;=Formulaire!$F$23,Formulaire!$F$23&lt;=Baremes!$B18),"Echelon 0 bis",(IF(AND(Points_charge!$C$17=Baremes!$A18,Baremes!$C18&gt;=Formulaire!$F$23,Formulaire!$F$23&gt;=Baremes!$D18),"Echelon 1",(IF(AND(Points_charge!$C$17=Baremes!$A18,Baremes!$D18&gt;=Formulaire!$F$23,Formulaire!$F$23&gt;=Baremes!$E18),"Echelon 2",IF(AND(Points_charge!$C$17=Baremes!$A18,Baremes!$E18&gt;=Formulaire!$F$23,Formulaire!$F$23&gt;=Baremes!$F18),"Echelon 3",IF(AND(Points_charge!$C$17=Baremes!$A18,Baremes!F18&gt;=Formulaire!$F$23,Formulaire!$F$23&gt;=Baremes!G18),"Echelon 4",IF(AND(Points_charge!$C$17=Baremes!$A18,Baremes!G18&gt;=Formulaire!$F$23,Formulaire!$F$23&gt;=Baremes!H18),"Echelon 5",IF(AND(Points_charge!$C$17=Baremes!$A18,Baremes!H18&gt;=Formulaire!$F$23,Formulaire!$F$23&gt;=Baremes!I18),"Echelon 6",IF(AND(Points_charge!$C$17=Baremes!$A18,Baremes!I18&gt;=Formulaire!$F$23,Formulaire!$F$23&gt;0),"Echelon 7",IF(AND(Points_charge!$C$17&gt;=Baremes!$A19,Baremes!$C19&lt;Formulaire!$F$23,Formulaire!$F$23&lt;=Baremes!$B19),"Echelon 0 bis",(IF(AND(Points_charge!$C$17&gt;=Baremes!$A19,Baremes!$C19&gt;Formulaire!$F$23,Formulaire!$F$23&gt;=Baremes!$D19),"Echelon 1",(IF(AND(Points_charge!$C$17&gt;=Baremes!$A19,Baremes!$D19&gt;Formulaire!$F$23,Formulaire!$F$23&gt;=Baremes!$E19),"Echelon 2",IF(AND(Points_charge!$C$17&gt;=Baremes!$A19,Baremes!$E19&gt;=Formulaire!$F$23,Formulaire!$F$23&gt;=Baremes!$F19),"Echelon 3",IF(AND(Points_charge!$C$17&gt;=Baremes!$A19,Baremes!F19&gt;=Formulaire!$F$23,Formulaire!$F$23&gt;=Baremes!G19),"Echelon 4",IF(AND(Points_charge!$C$17&gt;=Baremes!$A19,Baremes!G19&gt;=Formulaire!$F$23,Formulaire!$F$23&gt;=Baremes!H19),"Echelon 5",IF(AND(Points_charge!$C$17&gt;=Baremes!$A19,Baremes!H19&gt;=Formulaire!$F$23,Formulaire!$F$23&gt;Baremes!I19),"Echelon 6",IF(AND(Points_charge!$C$17&gt;=Baremes!$A19,Baremes!I19&gt;Formulaire!$F$23,Formulaire!$F$23&gt;0),"Echelon 7","Pas dans ce cas"))))))))))))))))))))))))))))))</f>
        <v>Pas dans ce cas</v>
      </c>
    </row>
    <row r="5" spans="1:12" ht="18" x14ac:dyDescent="0.25">
      <c r="A5" s="20">
        <v>3</v>
      </c>
      <c r="B5" s="21">
        <v>46767</v>
      </c>
      <c r="C5" s="21">
        <v>31800</v>
      </c>
      <c r="D5" s="21">
        <v>25705</v>
      </c>
      <c r="E5" s="21">
        <v>22716</v>
      </c>
      <c r="F5" s="21">
        <v>19758</v>
      </c>
      <c r="G5" s="21">
        <v>16875</v>
      </c>
      <c r="H5" s="21">
        <v>10653</v>
      </c>
      <c r="I5" s="21">
        <v>1060</v>
      </c>
      <c r="K5" s="108" t="s">
        <v>50</v>
      </c>
      <c r="L5" s="109"/>
    </row>
    <row r="6" spans="1:12" ht="31.5" customHeight="1" x14ac:dyDescent="0.25">
      <c r="A6" s="20">
        <v>4</v>
      </c>
      <c r="B6" s="21">
        <v>50668</v>
      </c>
      <c r="C6" s="21">
        <v>34450</v>
      </c>
      <c r="D6" s="21">
        <v>27846</v>
      </c>
      <c r="E6" s="21">
        <v>24603</v>
      </c>
      <c r="F6" s="21">
        <v>21412</v>
      </c>
      <c r="G6" s="21">
        <v>18285</v>
      </c>
      <c r="H6" s="21">
        <v>11533</v>
      </c>
      <c r="I6" s="21">
        <v>1325</v>
      </c>
      <c r="K6" s="23" t="s">
        <v>49</v>
      </c>
      <c r="L6" s="23" t="str">
        <f>IF(AND(Points_charge!$C$17&gt;=Baremes!$A19,Baremes!$C19&lt;Formulaire!$F$23,Formulaire!$F$23&lt;Baremes!$B19),"Echelon 0 bis",(IF(AND(Points_charge!$C$17&gt;=Baremes!$A19,Baremes!$C19&gt;Formulaire!$F$23,Formulaire!$F$23&gt;Baremes!$D19),"Echelon 1",(IF(AND(Points_charge!$C$17&gt;=Baremes!$A19,Baremes!$D19&gt;Formulaire!$F$23,Formulaire!$F$23&gt;Baremes!$E19),"Echelon 2",IF(AND(Points_charge!$C$17&gt;=Baremes!$A19,Baremes!$E19&gt;Formulaire!$F$23,Formulaire!$F$23&gt;Baremes!$F19),"Echelon 3",IF(AND(Points_charge!$C$17&gt;=Baremes!$A19,Baremes!F19&gt;Formulaire!$F$23,Formulaire!$F$23&gt;Baremes!G19),"Echelon 4",IF(AND(Points_charge!$C$17&gt;=Baremes!$A19,Baremes!G19&gt;Formulaire!$F$23,Formulaire!$F$23&gt;Baremes!H19),"Echelon 5",IF(AND(Points_charge!$C$17&gt;=Baremes!$A19,Baremes!H19&gt;Formulaire!$F$23,Formulaire!$F$23&gt;Baremes!I19),"Echelon 6",IF(AND(Points_charge!$C$17&gt;=Baremes!$A19,Baremes!I19&gt;Formulaire!$F$23,Formulaire!$F$23&gt;=0),"Echelon 7","Pas dans ce cas"))))))))))</f>
        <v>Pas dans ce cas</v>
      </c>
    </row>
    <row r="7" spans="1:12" ht="18" customHeight="1" x14ac:dyDescent="0.25">
      <c r="A7" s="20">
        <v>5</v>
      </c>
      <c r="B7" s="21">
        <v>54569</v>
      </c>
      <c r="C7" s="21">
        <v>37111</v>
      </c>
      <c r="D7" s="21">
        <v>29998</v>
      </c>
      <c r="E7" s="21">
        <v>26500</v>
      </c>
      <c r="F7" s="21">
        <v>23066</v>
      </c>
      <c r="G7" s="21">
        <v>19695</v>
      </c>
      <c r="H7" s="21">
        <v>12434</v>
      </c>
      <c r="I7" s="21">
        <v>1590</v>
      </c>
      <c r="K7" s="110" t="s">
        <v>77</v>
      </c>
      <c r="L7" s="110"/>
    </row>
    <row r="8" spans="1:12" ht="18" x14ac:dyDescent="0.25">
      <c r="A8" s="20">
        <v>6</v>
      </c>
      <c r="B8" s="21">
        <v>58459</v>
      </c>
      <c r="C8" s="21">
        <v>39761</v>
      </c>
      <c r="D8" s="21">
        <v>32139</v>
      </c>
      <c r="E8" s="21">
        <v>28376</v>
      </c>
      <c r="F8" s="21">
        <v>24709</v>
      </c>
      <c r="G8" s="21">
        <v>21105</v>
      </c>
      <c r="H8" s="21">
        <v>13324</v>
      </c>
      <c r="I8" s="21">
        <v>1855</v>
      </c>
      <c r="K8" s="110"/>
      <c r="L8" s="110"/>
    </row>
    <row r="9" spans="1:12" ht="18" x14ac:dyDescent="0.25">
      <c r="A9" s="20">
        <v>7</v>
      </c>
      <c r="B9" s="21">
        <v>62360</v>
      </c>
      <c r="C9" s="21">
        <v>42411</v>
      </c>
      <c r="D9" s="21">
        <v>34280</v>
      </c>
      <c r="E9" s="21">
        <v>30274</v>
      </c>
      <c r="F9" s="21">
        <v>26352</v>
      </c>
      <c r="G9" s="21">
        <v>22514</v>
      </c>
      <c r="H9" s="21">
        <v>14215</v>
      </c>
      <c r="I9" s="21">
        <v>2120</v>
      </c>
      <c r="K9" s="110"/>
      <c r="L9" s="110"/>
    </row>
    <row r="10" spans="1:12" ht="18" x14ac:dyDescent="0.25">
      <c r="A10" s="20">
        <v>8</v>
      </c>
      <c r="B10" s="21">
        <v>66261</v>
      </c>
      <c r="C10" s="21">
        <v>45061</v>
      </c>
      <c r="D10" s="21">
        <v>36422</v>
      </c>
      <c r="E10" s="21">
        <v>32171</v>
      </c>
      <c r="F10" s="21">
        <v>28005</v>
      </c>
      <c r="G10" s="21">
        <v>23914</v>
      </c>
      <c r="H10" s="21">
        <v>15094</v>
      </c>
      <c r="I10" s="21">
        <v>2385</v>
      </c>
      <c r="K10" s="110"/>
      <c r="L10" s="110"/>
    </row>
    <row r="11" spans="1:12" ht="18" x14ac:dyDescent="0.25">
      <c r="A11" s="20">
        <v>9</v>
      </c>
      <c r="B11" s="21">
        <v>70151</v>
      </c>
      <c r="C11" s="21">
        <v>47700</v>
      </c>
      <c r="D11" s="21">
        <v>38563</v>
      </c>
      <c r="E11" s="21">
        <v>34058</v>
      </c>
      <c r="F11" s="21">
        <v>29648</v>
      </c>
      <c r="G11" s="21">
        <v>25323</v>
      </c>
      <c r="H11" s="21">
        <v>15985</v>
      </c>
      <c r="I11" s="21">
        <v>2650</v>
      </c>
      <c r="K11" s="110"/>
      <c r="L11" s="110"/>
    </row>
    <row r="12" spans="1:12" ht="18" x14ac:dyDescent="0.25">
      <c r="A12" s="20">
        <v>10</v>
      </c>
      <c r="B12" s="21">
        <v>74052</v>
      </c>
      <c r="C12" s="21">
        <v>50361</v>
      </c>
      <c r="D12" s="21">
        <v>40704</v>
      </c>
      <c r="E12" s="21">
        <v>35955</v>
      </c>
      <c r="F12" s="21">
        <v>31291</v>
      </c>
      <c r="G12" s="21">
        <v>36733</v>
      </c>
      <c r="H12" s="21">
        <v>16865</v>
      </c>
      <c r="I12" s="21">
        <v>2915</v>
      </c>
      <c r="K12" s="110"/>
      <c r="L12" s="110"/>
    </row>
    <row r="13" spans="1:12" ht="18" x14ac:dyDescent="0.25">
      <c r="A13" s="20">
        <v>11</v>
      </c>
      <c r="B13" s="21">
        <v>77952</v>
      </c>
      <c r="C13" s="21">
        <v>53011</v>
      </c>
      <c r="D13" s="21">
        <v>42835</v>
      </c>
      <c r="E13" s="21">
        <v>37853</v>
      </c>
      <c r="F13" s="21">
        <v>32955</v>
      </c>
      <c r="G13" s="21">
        <v>28132</v>
      </c>
      <c r="H13" s="21">
        <v>17755</v>
      </c>
      <c r="I13" s="21">
        <v>3180</v>
      </c>
      <c r="K13" s="110"/>
      <c r="L13" s="110"/>
    </row>
    <row r="14" spans="1:12" ht="18" x14ac:dyDescent="0.25">
      <c r="A14" s="20">
        <v>12</v>
      </c>
      <c r="B14" s="21">
        <v>81843</v>
      </c>
      <c r="C14" s="21">
        <v>55650</v>
      </c>
      <c r="D14" s="21">
        <v>44976</v>
      </c>
      <c r="E14" s="21">
        <v>39739</v>
      </c>
      <c r="F14" s="21">
        <v>34588</v>
      </c>
      <c r="G14" s="21">
        <v>29542</v>
      </c>
      <c r="H14" s="21">
        <v>18645</v>
      </c>
      <c r="I14" s="21">
        <v>3445</v>
      </c>
      <c r="K14" s="110"/>
      <c r="L14" s="110"/>
    </row>
    <row r="15" spans="1:12" ht="18" x14ac:dyDescent="0.25">
      <c r="A15" s="20">
        <v>13</v>
      </c>
      <c r="B15" s="21">
        <v>85743</v>
      </c>
      <c r="C15" s="21">
        <v>58300</v>
      </c>
      <c r="D15" s="21">
        <v>47117</v>
      </c>
      <c r="E15" s="21">
        <v>41637</v>
      </c>
      <c r="F15" s="21">
        <v>36231</v>
      </c>
      <c r="G15" s="21">
        <v>30952</v>
      </c>
      <c r="H15" s="21">
        <v>19525</v>
      </c>
      <c r="I15" s="21">
        <v>3710</v>
      </c>
      <c r="K15" s="110"/>
      <c r="L15" s="110"/>
    </row>
    <row r="16" spans="1:12" ht="18" x14ac:dyDescent="0.25">
      <c r="A16" s="20">
        <v>14</v>
      </c>
      <c r="B16" s="21">
        <v>89634</v>
      </c>
      <c r="C16" s="21">
        <v>60971</v>
      </c>
      <c r="D16" s="21">
        <v>49269</v>
      </c>
      <c r="E16" s="21">
        <v>43513</v>
      </c>
      <c r="F16" s="21">
        <v>37895</v>
      </c>
      <c r="G16" s="21">
        <v>32362</v>
      </c>
      <c r="H16" s="21">
        <v>20426</v>
      </c>
      <c r="I16" s="21">
        <v>3975</v>
      </c>
      <c r="K16" s="110"/>
      <c r="L16" s="110"/>
    </row>
    <row r="17" spans="1:12" ht="18" x14ac:dyDescent="0.25">
      <c r="A17" s="20">
        <v>15</v>
      </c>
      <c r="B17" s="21">
        <v>93545</v>
      </c>
      <c r="C17" s="21">
        <v>63611</v>
      </c>
      <c r="D17" s="21">
        <v>51410</v>
      </c>
      <c r="E17" s="21">
        <v>45410</v>
      </c>
      <c r="F17" s="21">
        <v>39538</v>
      </c>
      <c r="G17" s="21">
        <v>33772</v>
      </c>
      <c r="H17" s="21">
        <v>21317</v>
      </c>
      <c r="I17" s="21">
        <v>4240</v>
      </c>
      <c r="K17" s="110"/>
      <c r="L17" s="110"/>
    </row>
    <row r="18" spans="1:12" ht="18" x14ac:dyDescent="0.25">
      <c r="A18" s="20">
        <v>16</v>
      </c>
      <c r="B18" s="21">
        <v>97435</v>
      </c>
      <c r="C18" s="21">
        <v>66261</v>
      </c>
      <c r="D18" s="21">
        <v>53551</v>
      </c>
      <c r="E18" s="21">
        <v>47308</v>
      </c>
      <c r="F18" s="21">
        <v>41170</v>
      </c>
      <c r="G18" s="21">
        <v>35181</v>
      </c>
      <c r="H18" s="21">
        <v>22196</v>
      </c>
      <c r="I18" s="21">
        <v>4505</v>
      </c>
      <c r="K18" s="110"/>
      <c r="L18" s="110"/>
    </row>
    <row r="19" spans="1:12" ht="18" x14ac:dyDescent="0.25">
      <c r="A19" s="20">
        <v>17</v>
      </c>
      <c r="B19" s="21">
        <v>101347</v>
      </c>
      <c r="C19" s="21">
        <v>68911</v>
      </c>
      <c r="D19" s="21">
        <v>55692</v>
      </c>
      <c r="E19" s="21">
        <v>49195</v>
      </c>
      <c r="F19" s="21">
        <v>42824</v>
      </c>
      <c r="G19" s="21">
        <v>36581</v>
      </c>
      <c r="H19" s="21">
        <v>23087</v>
      </c>
      <c r="I19" s="21">
        <v>4770</v>
      </c>
      <c r="K19" s="110"/>
      <c r="L19" s="110"/>
    </row>
    <row r="21" spans="1:12" ht="31.5" x14ac:dyDescent="0.25">
      <c r="A21" s="111" t="s">
        <v>90</v>
      </c>
      <c r="B21" s="19" t="s">
        <v>11</v>
      </c>
      <c r="C21" s="19" t="s">
        <v>12</v>
      </c>
      <c r="D21" s="19" t="s">
        <v>13</v>
      </c>
      <c r="E21" s="19" t="s">
        <v>14</v>
      </c>
      <c r="F21" s="19" t="s">
        <v>15</v>
      </c>
      <c r="G21" s="19" t="s">
        <v>16</v>
      </c>
      <c r="H21" s="19" t="s">
        <v>17</v>
      </c>
      <c r="I21" s="19" t="s">
        <v>18</v>
      </c>
    </row>
    <row r="22" spans="1:12" x14ac:dyDescent="0.25">
      <c r="A22" s="112"/>
      <c r="B22" s="21">
        <v>1454</v>
      </c>
      <c r="C22" s="21">
        <v>2163</v>
      </c>
      <c r="D22" s="21">
        <v>3071</v>
      </c>
      <c r="E22" s="21">
        <v>3828</v>
      </c>
      <c r="F22" s="21">
        <v>4587</v>
      </c>
      <c r="G22" s="21">
        <v>5212</v>
      </c>
      <c r="H22" s="21">
        <v>5506</v>
      </c>
      <c r="I22" s="21">
        <v>6335</v>
      </c>
    </row>
  </sheetData>
  <sheetProtection algorithmName="SHA-512" hashValue="t5HilGL4rGw8fBUNtzh7jrhCrwzM67vPloBExLRsyRyZ3x8HRorn4K18RnLEi8VXO0lBPH8dw1w/wf7UlOPywA==" saltValue="ziB1Jkvh+gA2BICau+CRvA==" spinCount="100000" sheet="1" objects="1" scenarios="1"/>
  <mergeCells count="4">
    <mergeCell ref="K1:L1"/>
    <mergeCell ref="K5:L5"/>
    <mergeCell ref="K7:L19"/>
    <mergeCell ref="A21:A2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F96BA-D075-4F90-8BA7-90BC0B8A8CF2}">
  <sheetPr codeName="Feuil2"/>
  <dimension ref="A1:H13"/>
  <sheetViews>
    <sheetView zoomScale="85" zoomScaleNormal="85" workbookViewId="0">
      <selection activeCell="B21" sqref="B21"/>
    </sheetView>
  </sheetViews>
  <sheetFormatPr baseColWidth="10" defaultRowHeight="15" x14ac:dyDescent="0.25"/>
  <cols>
    <col min="1" max="1" width="36.140625" customWidth="1"/>
    <col min="2" max="2" width="82.5703125" customWidth="1"/>
    <col min="3" max="3" width="57.5703125" customWidth="1"/>
    <col min="4" max="4" width="24.28515625" customWidth="1"/>
    <col min="5" max="5" width="5" customWidth="1"/>
    <col min="6" max="6" width="22.28515625" customWidth="1"/>
    <col min="7" max="7" width="48.85546875" customWidth="1"/>
    <col min="8" max="8" width="43.5703125" customWidth="1"/>
  </cols>
  <sheetData>
    <row r="1" spans="1:8" ht="15.75" x14ac:dyDescent="0.25">
      <c r="A1" s="107" t="s">
        <v>46</v>
      </c>
      <c r="B1" s="107"/>
      <c r="C1" s="107"/>
      <c r="D1" s="107"/>
      <c r="E1" s="107"/>
      <c r="F1" s="107"/>
      <c r="G1" s="107"/>
      <c r="H1" s="107"/>
    </row>
    <row r="2" spans="1:8" x14ac:dyDescent="0.25">
      <c r="A2" s="28"/>
      <c r="B2" s="28"/>
      <c r="C2" s="28"/>
      <c r="D2" s="28"/>
      <c r="E2" s="28"/>
      <c r="F2" s="28"/>
      <c r="G2" s="28"/>
      <c r="H2" s="28"/>
    </row>
    <row r="3" spans="1:8" ht="17.25" customHeight="1" x14ac:dyDescent="0.25">
      <c r="A3" s="16" t="s">
        <v>82</v>
      </c>
      <c r="B3" s="24" t="s">
        <v>80</v>
      </c>
      <c r="C3" s="24" t="s">
        <v>86</v>
      </c>
      <c r="D3" s="15" t="s">
        <v>3</v>
      </c>
      <c r="E3" s="16" t="s">
        <v>57</v>
      </c>
      <c r="F3" s="16" t="s">
        <v>31</v>
      </c>
      <c r="G3" s="18" t="s">
        <v>59</v>
      </c>
      <c r="H3" s="18" t="s">
        <v>69</v>
      </c>
    </row>
    <row r="4" spans="1:8" ht="19.5" customHeight="1" x14ac:dyDescent="0.25">
      <c r="A4" s="16" t="s">
        <v>83</v>
      </c>
      <c r="B4" s="24" t="s">
        <v>81</v>
      </c>
      <c r="C4" s="24" t="s">
        <v>87</v>
      </c>
      <c r="D4" s="15" t="s">
        <v>5</v>
      </c>
      <c r="E4" s="16" t="s">
        <v>58</v>
      </c>
      <c r="F4" s="16" t="s">
        <v>32</v>
      </c>
      <c r="G4" s="18" t="s">
        <v>60</v>
      </c>
      <c r="H4" s="18" t="s">
        <v>70</v>
      </c>
    </row>
    <row r="5" spans="1:8" ht="21" customHeight="1" x14ac:dyDescent="0.25">
      <c r="A5" s="16" t="s">
        <v>84</v>
      </c>
      <c r="B5" s="24" t="s">
        <v>85</v>
      </c>
      <c r="C5" s="24" t="s">
        <v>52</v>
      </c>
      <c r="D5" s="15" t="s">
        <v>6</v>
      </c>
      <c r="E5" s="25"/>
      <c r="F5" s="16" t="s">
        <v>33</v>
      </c>
      <c r="G5" s="18" t="s">
        <v>61</v>
      </c>
      <c r="H5" s="18" t="s">
        <v>71</v>
      </c>
    </row>
    <row r="6" spans="1:8" ht="20.25" customHeight="1" x14ac:dyDescent="0.25">
      <c r="A6" s="16" t="s">
        <v>79</v>
      </c>
      <c r="B6" s="24" t="s">
        <v>51</v>
      </c>
      <c r="C6" s="24"/>
      <c r="D6" s="15" t="s">
        <v>7</v>
      </c>
      <c r="E6" s="25"/>
      <c r="F6" s="16" t="s">
        <v>34</v>
      </c>
      <c r="G6" s="18" t="s">
        <v>62</v>
      </c>
      <c r="H6" s="18" t="s">
        <v>72</v>
      </c>
    </row>
    <row r="7" spans="1:8" ht="15.75" x14ac:dyDescent="0.25">
      <c r="A7" s="16" t="s">
        <v>78</v>
      </c>
      <c r="B7" s="30"/>
      <c r="C7" s="30"/>
      <c r="D7" s="15" t="s">
        <v>8</v>
      </c>
      <c r="E7" s="25"/>
      <c r="F7" s="25"/>
      <c r="G7" s="18" t="s">
        <v>75</v>
      </c>
      <c r="H7" s="18"/>
    </row>
    <row r="8" spans="1:8" ht="15.75" x14ac:dyDescent="0.25">
      <c r="A8" s="16"/>
      <c r="B8" s="30"/>
      <c r="C8" s="30"/>
      <c r="D8" s="15" t="s">
        <v>9</v>
      </c>
      <c r="E8" s="25"/>
      <c r="F8" s="25"/>
      <c r="G8" s="18" t="s">
        <v>63</v>
      </c>
      <c r="H8" s="18"/>
    </row>
    <row r="9" spans="1:8" ht="31.5" x14ac:dyDescent="0.25">
      <c r="A9" s="25"/>
      <c r="B9" s="29"/>
      <c r="C9" s="29"/>
      <c r="D9" s="15" t="s">
        <v>4</v>
      </c>
      <c r="E9" s="25"/>
      <c r="F9" s="25"/>
      <c r="G9" s="18" t="s">
        <v>64</v>
      </c>
      <c r="H9" s="18"/>
    </row>
    <row r="12" spans="1:8" x14ac:dyDescent="0.25">
      <c r="A12" s="37" t="s">
        <v>88</v>
      </c>
      <c r="B12" s="37" t="s">
        <v>89</v>
      </c>
    </row>
    <row r="13" spans="1:8" x14ac:dyDescent="0.25">
      <c r="A13" s="28">
        <v>10810</v>
      </c>
      <c r="B13" s="28">
        <v>9497</v>
      </c>
    </row>
  </sheetData>
  <sheetProtection algorithmName="SHA-512" hashValue="qwemqe4uZXdqquhOqUmPaL5VsZuYQsHyIBQuCEocfObS6P7AMoKF492sg6JL03f1q80yzsdiL9rImaevMVcwLg==" saltValue="SYrcD53ESuFg3Lugv5KQSA==" spinCount="100000" sheet="1" objects="1" scenarios="1"/>
  <mergeCells count="1">
    <mergeCell ref="A1:H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Formulaire</vt:lpstr>
      <vt:lpstr>Points_charge</vt:lpstr>
      <vt:lpstr>Baremes</vt:lpstr>
      <vt:lpstr>Parametres</vt:lpstr>
    </vt:vector>
  </TitlesOfParts>
  <Company>Région Nouvelle-Aquitaine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Clément GUILLAUD (Stagiaire)</dc:creator>
  <cp:lastModifiedBy>Caroline PELLERIN</cp:lastModifiedBy>
  <cp:lastPrinted>2024-07-01T15:38:05Z</cp:lastPrinted>
  <dcterms:created xsi:type="dcterms:W3CDTF">2021-02-03T08:43:04Z</dcterms:created>
  <dcterms:modified xsi:type="dcterms:W3CDTF">2026-06-03T14:06:06Z</dcterms:modified>
  <cp:contentStatus/>
</cp:coreProperties>
</file>